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harts/chart1.xml" ContentType="application/vnd.openxmlformats-officedocument.drawingml.chart+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31.xml" ContentType="application/vnd.openxmlformats-officedocument.drawing+xml"/>
  <Override PartName="/xl/charts/chart4.xml" ContentType="application/vnd.openxmlformats-officedocument.drawingml.chart+xml"/>
  <Override PartName="/xl/drawings/drawing32.xml" ContentType="application/vnd.openxmlformats-officedocument.drawing+xml"/>
  <Override PartName="/xl/charts/chart5.xml" ContentType="application/vnd.openxmlformats-officedocument.drawingml.chart+xml"/>
  <Override PartName="/xl/drawings/drawing33.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dc.gov\private\M120\gyq5\Projects\Dental Caries\Submission\"/>
    </mc:Choice>
  </mc:AlternateContent>
  <bookViews>
    <workbookView xWindow="-3210" yWindow="90" windowWidth="15480" windowHeight="7995" tabRatio="599" firstSheet="14" activeTab="14"/>
  </bookViews>
  <sheets>
    <sheet name="Main" sheetId="21" r:id="rId1"/>
    <sheet name="Instruction" sheetId="30" r:id="rId2"/>
    <sheet name="Population" sheetId="12" r:id="rId3"/>
    <sheet name="Caries" sheetId="16" r:id="rId4"/>
    <sheet name="FMDR" sheetId="14" r:id="rId5"/>
    <sheet name="Weighted" sheetId="40" r:id="rId6"/>
    <sheet name="Fluoridation" sheetId="13" r:id="rId7"/>
    <sheet name="Sealants" sheetId="1" r:id="rId8"/>
    <sheet name="Varnish" sheetId="4" r:id="rId9"/>
    <sheet name="Toothbrushes" sheetId="5" r:id="rId10"/>
    <sheet name="Initial_exam" sheetId="7" r:id="rId11"/>
    <sheet name="Effectiveness" sheetId="18" r:id="rId12"/>
    <sheet name="Summary" sheetId="15" r:id="rId13"/>
    <sheet name="Prevention" sheetId="17" r:id="rId14"/>
    <sheet name="Outcomes" sheetId="32" r:id="rId15"/>
    <sheet name="Health Outcomes" sheetId="36" r:id="rId16"/>
    <sheet name="Final Health Outcomes" sheetId="43" r:id="rId17"/>
    <sheet name="Prevention_Cost" sheetId="27" r:id="rId18"/>
    <sheet name="Actual_Prevention $" sheetId="29" r:id="rId19"/>
    <sheet name="CEA" sheetId="42" r:id="rId20"/>
    <sheet name="CEA_Actual" sheetId="44" r:id="rId21"/>
    <sheet name="Villages" sheetId="25" r:id="rId22"/>
    <sheet name="Treatment_Cost" sheetId="35" r:id="rId23"/>
    <sheet name="Discounting" sheetId="20" r:id="rId24"/>
    <sheet name="Discounting_Ideal" sheetId="26" r:id="rId25"/>
    <sheet name="Total Discounting" sheetId="41" r:id="rId26"/>
    <sheet name="Explain" sheetId="31" r:id="rId27"/>
    <sheet name="Supplement1" sheetId="33" r:id="rId28"/>
    <sheet name="Supplement2" sheetId="34" r:id="rId29"/>
    <sheet name="Display" sheetId="22" r:id="rId30"/>
    <sheet name="Encounter Rate" sheetId="37" r:id="rId31"/>
    <sheet name="Current_Health" sheetId="38" r:id="rId32"/>
    <sheet name="10yr_Health" sheetId="39" r:id="rId33"/>
    <sheet name="graphs" sheetId="45" r:id="rId34"/>
  </sheets>
  <definedNames>
    <definedName name="For_a_full_list_of_calculations">Summary!$K$16</definedName>
  </definedNames>
  <calcPr calcId="152511"/>
</workbook>
</file>

<file path=xl/calcChain.xml><?xml version="1.0" encoding="utf-8"?>
<calcChain xmlns="http://schemas.openxmlformats.org/spreadsheetml/2006/main">
  <c r="T10" i="36" l="1"/>
  <c r="T11" i="36"/>
  <c r="T12" i="36"/>
  <c r="T8" i="36"/>
  <c r="I13" i="16" l="1"/>
  <c r="L11" i="40" s="1"/>
  <c r="G13" i="16"/>
  <c r="E13" i="16"/>
  <c r="H12" i="16" l="1"/>
  <c r="E8" i="7" l="1"/>
  <c r="B14" i="44" l="1"/>
  <c r="B13" i="44"/>
  <c r="B12" i="44"/>
  <c r="B11" i="44"/>
  <c r="B10" i="44"/>
  <c r="I6" i="44"/>
  <c r="G6" i="44"/>
  <c r="G4" i="44"/>
  <c r="U4" i="41" l="1"/>
  <c r="D8" i="43"/>
  <c r="B14" i="42"/>
  <c r="B13" i="42"/>
  <c r="B12" i="42"/>
  <c r="B11" i="42"/>
  <c r="B10" i="42"/>
  <c r="I6" i="42"/>
  <c r="G6" i="42"/>
  <c r="G4" i="42"/>
  <c r="A69" i="41"/>
  <c r="A56" i="41"/>
  <c r="A43" i="41"/>
  <c r="A30" i="41"/>
  <c r="A17" i="41"/>
  <c r="J3" i="41"/>
  <c r="E3" i="41"/>
  <c r="L4" i="20"/>
  <c r="N6" i="40"/>
  <c r="G8" i="18" l="1"/>
  <c r="F8" i="18"/>
  <c r="T9" i="36" s="1"/>
  <c r="L6" i="40" l="1"/>
  <c r="Q7" i="40" s="1"/>
  <c r="J11" i="40"/>
  <c r="H11" i="40"/>
  <c r="F11" i="40"/>
  <c r="E11" i="40"/>
  <c r="D10" i="40"/>
  <c r="D9" i="40"/>
  <c r="D8" i="40"/>
  <c r="D7" i="40"/>
  <c r="D6" i="40"/>
  <c r="M4" i="26" l="1"/>
  <c r="K2" i="39"/>
  <c r="K2" i="38"/>
  <c r="I13" i="14" l="1"/>
  <c r="H13" i="14"/>
  <c r="I9" i="13" l="1"/>
  <c r="K9" i="4" l="1"/>
  <c r="K10" i="4"/>
  <c r="K11" i="4"/>
  <c r="K12" i="4"/>
  <c r="K13" i="4"/>
  <c r="D43" i="16" l="1"/>
  <c r="D44" i="16"/>
  <c r="D45" i="16"/>
  <c r="D42" i="16"/>
  <c r="M7" i="16" l="1"/>
  <c r="G14" i="40" l="1"/>
  <c r="H9" i="14"/>
  <c r="N9" i="14" s="1"/>
  <c r="M14" i="40" l="1"/>
  <c r="J5" i="20"/>
  <c r="J5" i="26" s="1"/>
  <c r="I1" i="22"/>
  <c r="D12" i="16" l="1"/>
  <c r="F12" i="16"/>
  <c r="I11" i="40" s="1"/>
  <c r="G11" i="40" l="1"/>
  <c r="M6" i="40"/>
  <c r="O6" i="40"/>
  <c r="P6" i="40" s="1"/>
  <c r="N14" i="40" s="1"/>
  <c r="D14" i="37"/>
  <c r="D11" i="43" l="1"/>
  <c r="L3" i="20"/>
  <c r="D11" i="36"/>
  <c r="O9" i="14"/>
  <c r="G8" i="7"/>
  <c r="Q3" i="41" l="1"/>
  <c r="M3" i="26"/>
  <c r="H14" i="40"/>
  <c r="J14" i="40"/>
  <c r="I14" i="40"/>
  <c r="H3" i="26"/>
  <c r="F6" i="29"/>
  <c r="H6" i="27"/>
  <c r="H3" i="20"/>
  <c r="H6" i="17"/>
  <c r="K14" i="40" l="1"/>
  <c r="L14" i="40" s="1"/>
  <c r="O14" i="40" s="1"/>
  <c r="J5" i="41" s="1"/>
  <c r="N7" i="16"/>
  <c r="D8" i="36"/>
  <c r="M27" i="35"/>
  <c r="G27" i="35"/>
  <c r="M14" i="35"/>
  <c r="C7" i="35"/>
  <c r="A14" i="35"/>
  <c r="O7" i="16" l="1"/>
  <c r="H5" i="20"/>
  <c r="H5" i="26" s="1"/>
  <c r="B13" i="29"/>
  <c r="B12" i="29"/>
  <c r="B11" i="29"/>
  <c r="B10" i="29"/>
  <c r="H6" i="29"/>
  <c r="F4" i="29"/>
  <c r="E21" i="17" l="1"/>
  <c r="E20" i="17"/>
  <c r="E19" i="17"/>
  <c r="E18" i="17"/>
  <c r="I8" i="7" l="1"/>
  <c r="K8" i="7" s="1"/>
  <c r="H35" i="25" l="1"/>
  <c r="H13" i="25"/>
  <c r="D12" i="13" s="1"/>
  <c r="N20" i="25" l="1"/>
  <c r="E12" i="13" s="1"/>
  <c r="D13" i="27"/>
  <c r="D12" i="27"/>
  <c r="D11" i="27"/>
  <c r="D10" i="27"/>
  <c r="J6" i="27"/>
  <c r="H4" i="27"/>
  <c r="A55" i="26" l="1"/>
  <c r="A42" i="26"/>
  <c r="A29" i="26"/>
  <c r="A16" i="26"/>
  <c r="E3" i="26"/>
  <c r="M9" i="1" l="1"/>
  <c r="E14" i="1" l="1"/>
  <c r="F35" i="25" l="1"/>
  <c r="F13" i="25"/>
  <c r="C11" i="15" s="1"/>
  <c r="B7" i="38" l="1"/>
  <c r="D11" i="15"/>
  <c r="C7" i="38" s="1"/>
  <c r="S9" i="26"/>
  <c r="N41" i="22" s="1"/>
  <c r="R9" i="20"/>
  <c r="M41" i="22" s="1"/>
  <c r="J9" i="20"/>
  <c r="J9" i="26"/>
  <c r="B7" i="39"/>
  <c r="D7" i="39"/>
  <c r="D7" i="38"/>
  <c r="T9" i="20"/>
  <c r="O41" i="22" s="1"/>
  <c r="U9" i="26"/>
  <c r="P41" i="22" s="1"/>
  <c r="L9" i="20"/>
  <c r="L9" i="26"/>
  <c r="E7" i="39"/>
  <c r="C7" i="39"/>
  <c r="E7" i="38"/>
  <c r="D15" i="15"/>
  <c r="C15" i="15"/>
  <c r="D14" i="41"/>
  <c r="J8" i="7"/>
  <c r="B14" i="41" s="1"/>
  <c r="C11" i="38" l="1"/>
  <c r="B11" i="38"/>
  <c r="B75" i="41"/>
  <c r="B80" i="41"/>
  <c r="B73" i="41"/>
  <c r="B71" i="41"/>
  <c r="C71" i="41" s="1"/>
  <c r="B77" i="41"/>
  <c r="B76" i="41"/>
  <c r="B78" i="41"/>
  <c r="B74" i="41"/>
  <c r="B72" i="41"/>
  <c r="B79" i="41"/>
  <c r="D80" i="41"/>
  <c r="D78" i="41"/>
  <c r="D74" i="41"/>
  <c r="D76" i="41"/>
  <c r="D77" i="41"/>
  <c r="D72" i="41"/>
  <c r="D71" i="41"/>
  <c r="E71" i="41" s="1"/>
  <c r="D79" i="41"/>
  <c r="D75" i="41"/>
  <c r="D73" i="41"/>
  <c r="R13" i="20"/>
  <c r="M45" i="22" s="1"/>
  <c r="S13" i="26"/>
  <c r="N45" i="22" s="1"/>
  <c r="J13" i="26"/>
  <c r="J13" i="20"/>
  <c r="T13" i="20"/>
  <c r="O45" i="22" s="1"/>
  <c r="U13" i="26"/>
  <c r="P45" i="22" s="1"/>
  <c r="L13" i="26"/>
  <c r="L13" i="20"/>
  <c r="C11" i="39"/>
  <c r="E11" i="39"/>
  <c r="E11" i="38"/>
  <c r="D11" i="39"/>
  <c r="B11" i="39"/>
  <c r="D11" i="38"/>
  <c r="B13" i="26"/>
  <c r="B72" i="26" s="1"/>
  <c r="I15" i="15"/>
  <c r="H11" i="35"/>
  <c r="V12" i="36" s="1"/>
  <c r="D13" i="26"/>
  <c r="D70" i="26" s="1"/>
  <c r="E70" i="26" s="1"/>
  <c r="J15" i="15"/>
  <c r="J11" i="35"/>
  <c r="T24" i="26"/>
  <c r="T20" i="26"/>
  <c r="T27" i="26"/>
  <c r="T23" i="26"/>
  <c r="T19" i="26"/>
  <c r="T26" i="26"/>
  <c r="T22" i="26"/>
  <c r="T18" i="26"/>
  <c r="U18" i="26" s="1"/>
  <c r="T25" i="26"/>
  <c r="T21" i="26"/>
  <c r="R26" i="26"/>
  <c r="R22" i="26"/>
  <c r="R18" i="26"/>
  <c r="S18" i="26" s="1"/>
  <c r="R25" i="26"/>
  <c r="R21" i="26"/>
  <c r="R24" i="26"/>
  <c r="R20" i="26"/>
  <c r="R27" i="26"/>
  <c r="R23" i="26"/>
  <c r="R19" i="26"/>
  <c r="M13" i="1"/>
  <c r="M12" i="1"/>
  <c r="M11" i="1"/>
  <c r="M10" i="1"/>
  <c r="C72" i="41" l="1"/>
  <c r="C73" i="41" s="1"/>
  <c r="C74" i="41" s="1"/>
  <c r="C75" i="41" s="1"/>
  <c r="C76" i="41" s="1"/>
  <c r="C77" i="41" s="1"/>
  <c r="C78" i="41" s="1"/>
  <c r="C79" i="41" s="1"/>
  <c r="C80" i="41" s="1"/>
  <c r="E72" i="41"/>
  <c r="E73" i="41" s="1"/>
  <c r="E74" i="41" s="1"/>
  <c r="E75" i="41" s="1"/>
  <c r="E76" i="41" s="1"/>
  <c r="E77" i="41" s="1"/>
  <c r="E78" i="41" s="1"/>
  <c r="E79" i="41" s="1"/>
  <c r="E80" i="41" s="1"/>
  <c r="D76" i="26"/>
  <c r="D74" i="26"/>
  <c r="D71" i="26"/>
  <c r="E71" i="26" s="1"/>
  <c r="D75" i="26"/>
  <c r="D73" i="26"/>
  <c r="D78" i="26"/>
  <c r="D79" i="26"/>
  <c r="D77" i="26"/>
  <c r="D72" i="26"/>
  <c r="B77" i="26"/>
  <c r="B76" i="26"/>
  <c r="B78" i="26"/>
  <c r="B73" i="26"/>
  <c r="N34" i="35"/>
  <c r="N33" i="35"/>
  <c r="N37" i="35"/>
  <c r="N30" i="35"/>
  <c r="N35" i="35"/>
  <c r="N29" i="35"/>
  <c r="O29" i="35" s="1"/>
  <c r="N38" i="35"/>
  <c r="N36" i="35"/>
  <c r="N31" i="35"/>
  <c r="N32" i="35"/>
  <c r="B74" i="26"/>
  <c r="B75" i="26"/>
  <c r="B70" i="26"/>
  <c r="C70" i="26" s="1"/>
  <c r="B79" i="26"/>
  <c r="B71" i="26"/>
  <c r="P37" i="35"/>
  <c r="P31" i="35"/>
  <c r="P29" i="35"/>
  <c r="Q29" i="35" s="1"/>
  <c r="P30" i="35"/>
  <c r="P32" i="35"/>
  <c r="P38" i="35"/>
  <c r="P35" i="35"/>
  <c r="P33" i="35"/>
  <c r="P34" i="35"/>
  <c r="P36" i="35"/>
  <c r="R79" i="26"/>
  <c r="R74" i="26"/>
  <c r="R76" i="26"/>
  <c r="R71" i="26"/>
  <c r="R77" i="26"/>
  <c r="R72" i="26"/>
  <c r="R78" i="26"/>
  <c r="R73" i="26"/>
  <c r="R75" i="26"/>
  <c r="R70" i="26"/>
  <c r="S70" i="26" s="1"/>
  <c r="T78" i="26"/>
  <c r="T73" i="26"/>
  <c r="T75" i="26"/>
  <c r="T70" i="26"/>
  <c r="U70" i="26" s="1"/>
  <c r="T72" i="26"/>
  <c r="T77" i="26"/>
  <c r="T71" i="26"/>
  <c r="T74" i="26"/>
  <c r="T76" i="26"/>
  <c r="T79" i="26"/>
  <c r="S19" i="26"/>
  <c r="S20" i="26" s="1"/>
  <c r="S21" i="26" s="1"/>
  <c r="S22" i="26" s="1"/>
  <c r="S23" i="26" s="1"/>
  <c r="S24" i="26" s="1"/>
  <c r="S25" i="26" s="1"/>
  <c r="S26" i="26" s="1"/>
  <c r="S27" i="26" s="1"/>
  <c r="U19" i="26"/>
  <c r="U20" i="26" s="1"/>
  <c r="U21" i="26" s="1"/>
  <c r="U22" i="26" s="1"/>
  <c r="U23" i="26" s="1"/>
  <c r="U24" i="26" s="1"/>
  <c r="U25" i="26" s="1"/>
  <c r="U26" i="26" s="1"/>
  <c r="U27" i="26" s="1"/>
  <c r="M14" i="1"/>
  <c r="B11" i="41" s="1"/>
  <c r="B39" i="41" l="1"/>
  <c r="B40" i="41"/>
  <c r="B38" i="41"/>
  <c r="B35" i="41"/>
  <c r="B32" i="41"/>
  <c r="C32" i="41" s="1"/>
  <c r="B34" i="41"/>
  <c r="B41" i="41"/>
  <c r="B36" i="41"/>
  <c r="B37" i="41"/>
  <c r="B33" i="41"/>
  <c r="E72" i="26"/>
  <c r="E73" i="26" s="1"/>
  <c r="E74" i="26" s="1"/>
  <c r="E75" i="26" s="1"/>
  <c r="E76" i="26" s="1"/>
  <c r="E77" i="26" s="1"/>
  <c r="E78" i="26" s="1"/>
  <c r="E79" i="26" s="1"/>
  <c r="C71" i="26"/>
  <c r="C72" i="26" s="1"/>
  <c r="C73" i="26" s="1"/>
  <c r="C74" i="26" s="1"/>
  <c r="C75" i="26" s="1"/>
  <c r="C76" i="26" s="1"/>
  <c r="C77" i="26" s="1"/>
  <c r="C78" i="26" s="1"/>
  <c r="C79" i="26" s="1"/>
  <c r="B10" i="26"/>
  <c r="B31" i="26" s="1"/>
  <c r="C31" i="26" s="1"/>
  <c r="I12" i="15"/>
  <c r="H8" i="35"/>
  <c r="V9" i="36" s="1"/>
  <c r="O30" i="35"/>
  <c r="O31" i="35" s="1"/>
  <c r="O32" i="35" s="1"/>
  <c r="O33" i="35" s="1"/>
  <c r="O34" i="35" s="1"/>
  <c r="O35" i="35" s="1"/>
  <c r="O36" i="35" s="1"/>
  <c r="O37" i="35" s="1"/>
  <c r="O38" i="35" s="1"/>
  <c r="Q30" i="35"/>
  <c r="Q31" i="35" s="1"/>
  <c r="Q32" i="35" s="1"/>
  <c r="Q33" i="35" s="1"/>
  <c r="Q34" i="35" s="1"/>
  <c r="Q35" i="35" s="1"/>
  <c r="Q36" i="35" s="1"/>
  <c r="Q37" i="35" s="1"/>
  <c r="Q38" i="35" s="1"/>
  <c r="U71" i="26"/>
  <c r="U72" i="26" s="1"/>
  <c r="U73" i="26" s="1"/>
  <c r="U74" i="26" s="1"/>
  <c r="U75" i="26" s="1"/>
  <c r="U76" i="26" s="1"/>
  <c r="U77" i="26" s="1"/>
  <c r="U78" i="26" s="1"/>
  <c r="U79" i="26" s="1"/>
  <c r="S71" i="26"/>
  <c r="S72" i="26" s="1"/>
  <c r="S73" i="26" s="1"/>
  <c r="S74" i="26" s="1"/>
  <c r="S75" i="26" s="1"/>
  <c r="S76" i="26" s="1"/>
  <c r="S77" i="26" s="1"/>
  <c r="S78" i="26" s="1"/>
  <c r="S79" i="26" s="1"/>
  <c r="B39" i="26"/>
  <c r="B37" i="26"/>
  <c r="B33" i="26"/>
  <c r="B40" i="26"/>
  <c r="B36" i="26"/>
  <c r="D9" i="5"/>
  <c r="C33" i="41" l="1"/>
  <c r="C34" i="41" s="1"/>
  <c r="C35" i="41" s="1"/>
  <c r="C36" i="41" s="1"/>
  <c r="C37" i="41" s="1"/>
  <c r="C38" i="41" s="1"/>
  <c r="C39" i="41" s="1"/>
  <c r="C40" i="41" s="1"/>
  <c r="C41" i="41" s="1"/>
  <c r="B35" i="26"/>
  <c r="B32" i="26"/>
  <c r="C32" i="26" s="1"/>
  <c r="C33" i="26" s="1"/>
  <c r="B34" i="26"/>
  <c r="B38" i="26"/>
  <c r="H23" i="35"/>
  <c r="H16" i="35"/>
  <c r="I16" i="35" s="1"/>
  <c r="H17" i="35"/>
  <c r="H22" i="35"/>
  <c r="H20" i="35"/>
  <c r="H21" i="35"/>
  <c r="H25" i="35"/>
  <c r="H18" i="35"/>
  <c r="H19" i="35"/>
  <c r="H24" i="35"/>
  <c r="C34" i="26" l="1"/>
  <c r="C35" i="26" s="1"/>
  <c r="C36" i="26" s="1"/>
  <c r="C37" i="26" s="1"/>
  <c r="C38" i="26" s="1"/>
  <c r="C39" i="26" s="1"/>
  <c r="C40" i="26" s="1"/>
  <c r="I17" i="35"/>
  <c r="I18" i="35" s="1"/>
  <c r="I19" i="35" s="1"/>
  <c r="I20" i="35" s="1"/>
  <c r="I21" i="35" s="1"/>
  <c r="I22" i="35" s="1"/>
  <c r="I23" i="35" s="1"/>
  <c r="I24" i="35" s="1"/>
  <c r="I25" i="35" s="1"/>
  <c r="G14" i="1"/>
  <c r="G14" i="4" l="1"/>
  <c r="I14" i="1"/>
  <c r="D14" i="4"/>
  <c r="C10" i="4"/>
  <c r="L10" i="4" s="1"/>
  <c r="C11" i="4"/>
  <c r="L11" i="4" s="1"/>
  <c r="C12" i="4"/>
  <c r="L12" i="4" s="1"/>
  <c r="C13" i="4"/>
  <c r="L13" i="4" s="1"/>
  <c r="C9" i="4"/>
  <c r="L9" i="4" s="1"/>
  <c r="B10" i="4"/>
  <c r="B11" i="4"/>
  <c r="B12" i="4"/>
  <c r="B13" i="4"/>
  <c r="B9" i="4"/>
  <c r="D10" i="1"/>
  <c r="H10" i="1" s="1"/>
  <c r="D11" i="1"/>
  <c r="D12" i="1"/>
  <c r="H12" i="1" s="1"/>
  <c r="D13" i="1"/>
  <c r="D9" i="1"/>
  <c r="C10" i="1"/>
  <c r="C11" i="1"/>
  <c r="C12" i="1"/>
  <c r="C13" i="1"/>
  <c r="C9" i="1"/>
  <c r="F11" i="4" l="1"/>
  <c r="F9" i="4"/>
  <c r="F10" i="4"/>
  <c r="N9" i="1"/>
  <c r="H9" i="1"/>
  <c r="F12" i="4"/>
  <c r="N13" i="1"/>
  <c r="H13" i="1"/>
  <c r="N11" i="1"/>
  <c r="H11" i="1"/>
  <c r="F13" i="4"/>
  <c r="N10" i="1"/>
  <c r="B10" i="20"/>
  <c r="C14" i="4"/>
  <c r="F14" i="4" s="1"/>
  <c r="N12" i="1"/>
  <c r="D14" i="1"/>
  <c r="H14" i="1" s="1"/>
  <c r="J6" i="17"/>
  <c r="N14" i="1" l="1"/>
  <c r="D11" i="41" s="1"/>
  <c r="D32" i="41" l="1"/>
  <c r="E32" i="41" s="1"/>
  <c r="D35" i="41"/>
  <c r="D38" i="41"/>
  <c r="D41" i="41"/>
  <c r="D36" i="41"/>
  <c r="D34" i="41"/>
  <c r="D39" i="41"/>
  <c r="D40" i="41"/>
  <c r="D37" i="41"/>
  <c r="D33" i="41"/>
  <c r="J12" i="15"/>
  <c r="J8" i="35"/>
  <c r="D10" i="20"/>
  <c r="D10" i="26"/>
  <c r="J18" i="17"/>
  <c r="J22" i="17"/>
  <c r="I22" i="17"/>
  <c r="L8" i="22" s="1"/>
  <c r="I18" i="17"/>
  <c r="L4" i="22" s="1"/>
  <c r="E33" i="41" l="1"/>
  <c r="E34" i="41" s="1"/>
  <c r="E35" i="41" s="1"/>
  <c r="E36" i="41" s="1"/>
  <c r="E37" i="41" s="1"/>
  <c r="E38" i="41" s="1"/>
  <c r="E39" i="41" s="1"/>
  <c r="E40" i="41" s="1"/>
  <c r="E41" i="41" s="1"/>
  <c r="J24" i="35"/>
  <c r="J19" i="35"/>
  <c r="J18" i="35"/>
  <c r="J23" i="35"/>
  <c r="J16" i="35"/>
  <c r="K16" i="35" s="1"/>
  <c r="J21" i="35"/>
  <c r="J25" i="35"/>
  <c r="J17" i="35"/>
  <c r="J22" i="35"/>
  <c r="J20" i="35"/>
  <c r="D31" i="26"/>
  <c r="E31" i="26" s="1"/>
  <c r="D39" i="26"/>
  <c r="D38" i="26"/>
  <c r="D37" i="26"/>
  <c r="D34" i="26"/>
  <c r="D36" i="26"/>
  <c r="D32" i="26"/>
  <c r="D35" i="26"/>
  <c r="D33" i="26"/>
  <c r="D40" i="26"/>
  <c r="K22" i="17"/>
  <c r="K18" i="17"/>
  <c r="I11" i="12"/>
  <c r="E14" i="16" s="1"/>
  <c r="Q4" i="20" s="1"/>
  <c r="P13" i="20" s="1"/>
  <c r="D9" i="13" l="1"/>
  <c r="F15" i="14"/>
  <c r="H21" i="40"/>
  <c r="Q5" i="41" s="1"/>
  <c r="K17" i="35"/>
  <c r="K18" i="35" s="1"/>
  <c r="K19" i="35" s="1"/>
  <c r="K20" i="35" s="1"/>
  <c r="K21" i="35" s="1"/>
  <c r="K22" i="35" s="1"/>
  <c r="K23" i="35" s="1"/>
  <c r="K24" i="35" s="1"/>
  <c r="K25" i="35" s="1"/>
  <c r="E9" i="13"/>
  <c r="E32" i="26"/>
  <c r="E33" i="26" s="1"/>
  <c r="E34" i="26" s="1"/>
  <c r="E35" i="26" s="1"/>
  <c r="E36" i="26" s="1"/>
  <c r="E37" i="26" s="1"/>
  <c r="E38" i="26" s="1"/>
  <c r="E39" i="26" s="1"/>
  <c r="E40" i="26" s="1"/>
  <c r="D12" i="15"/>
  <c r="D13" i="15"/>
  <c r="C12" i="15"/>
  <c r="C13" i="15"/>
  <c r="F8" i="22"/>
  <c r="K9" i="5"/>
  <c r="P11" i="20" l="1"/>
  <c r="C9" i="38"/>
  <c r="C8" i="38"/>
  <c r="L10" i="20"/>
  <c r="H10" i="20"/>
  <c r="S10" i="36"/>
  <c r="B9" i="38"/>
  <c r="S9" i="36"/>
  <c r="B8" i="38"/>
  <c r="J10" i="20"/>
  <c r="F10" i="20"/>
  <c r="S10" i="26"/>
  <c r="N42" i="22" s="1"/>
  <c r="N10" i="20"/>
  <c r="I42" i="22" s="1"/>
  <c r="R10" i="20"/>
  <c r="M42" i="22" s="1"/>
  <c r="N11" i="41"/>
  <c r="J10" i="26"/>
  <c r="F11" i="41"/>
  <c r="H11" i="41"/>
  <c r="H11" i="20"/>
  <c r="P12" i="41"/>
  <c r="J12" i="41"/>
  <c r="L12" i="41"/>
  <c r="D6" i="36"/>
  <c r="L9" i="36" s="1"/>
  <c r="D6" i="43"/>
  <c r="U10" i="26"/>
  <c r="P42" i="22" s="1"/>
  <c r="T10" i="20"/>
  <c r="O42" i="22" s="1"/>
  <c r="P10" i="20"/>
  <c r="K42" i="22" s="1"/>
  <c r="P11" i="41"/>
  <c r="L10" i="26"/>
  <c r="L11" i="41"/>
  <c r="J11" i="41"/>
  <c r="F6" i="43"/>
  <c r="F6" i="36"/>
  <c r="P10" i="36" s="1"/>
  <c r="M9" i="5"/>
  <c r="D13" i="41" s="1"/>
  <c r="L9" i="5"/>
  <c r="B13" i="41" s="1"/>
  <c r="N10" i="41"/>
  <c r="H10" i="41"/>
  <c r="F10" i="41"/>
  <c r="P14" i="41"/>
  <c r="L14" i="41"/>
  <c r="F14" i="41"/>
  <c r="J14" i="41"/>
  <c r="P10" i="41"/>
  <c r="J10" i="41"/>
  <c r="H14" i="41"/>
  <c r="L10" i="41"/>
  <c r="N14" i="41"/>
  <c r="F11" i="20"/>
  <c r="M10" i="36"/>
  <c r="N10" i="36"/>
  <c r="N12" i="41"/>
  <c r="H12" i="41"/>
  <c r="F12" i="41"/>
  <c r="Q4" i="26"/>
  <c r="Q11" i="26" s="1"/>
  <c r="L43" i="22" s="1"/>
  <c r="P9" i="20"/>
  <c r="N9" i="20"/>
  <c r="I41" i="22" s="1"/>
  <c r="F9" i="20"/>
  <c r="H9" i="20"/>
  <c r="F13" i="20"/>
  <c r="N13" i="20"/>
  <c r="I45" i="22" s="1"/>
  <c r="K45" i="22"/>
  <c r="H13" i="20"/>
  <c r="K43" i="22"/>
  <c r="U11" i="26"/>
  <c r="P43" i="22" s="1"/>
  <c r="T11" i="20"/>
  <c r="O43" i="22" s="1"/>
  <c r="L11" i="26"/>
  <c r="L11" i="20"/>
  <c r="N11" i="20"/>
  <c r="I43" i="22" s="1"/>
  <c r="R11" i="20"/>
  <c r="M43" i="22" s="1"/>
  <c r="S11" i="26"/>
  <c r="N43" i="22" s="1"/>
  <c r="J11" i="20"/>
  <c r="J11" i="26"/>
  <c r="E9" i="39"/>
  <c r="C9" i="39"/>
  <c r="E9" i="38"/>
  <c r="E8" i="39"/>
  <c r="C8" i="39"/>
  <c r="E8" i="38"/>
  <c r="D9" i="39"/>
  <c r="B9" i="39"/>
  <c r="D9" i="38"/>
  <c r="H10" i="35"/>
  <c r="V11" i="36" s="1"/>
  <c r="D8" i="39"/>
  <c r="B8" i="39"/>
  <c r="D8" i="38"/>
  <c r="F4" i="22"/>
  <c r="I9" i="36" l="1"/>
  <c r="J9" i="36"/>
  <c r="S8" i="36"/>
  <c r="S12" i="36"/>
  <c r="M9" i="36"/>
  <c r="P9" i="36"/>
  <c r="R9" i="36"/>
  <c r="X9" i="36"/>
  <c r="Y9" i="36" s="1"/>
  <c r="W9" i="36"/>
  <c r="R10" i="36"/>
  <c r="X10" i="36"/>
  <c r="Y10" i="36" s="1"/>
  <c r="O9" i="36"/>
  <c r="N9" i="36"/>
  <c r="K9" i="36"/>
  <c r="O11" i="26"/>
  <c r="J43" i="22" s="1"/>
  <c r="I12" i="36"/>
  <c r="I10" i="36"/>
  <c r="B51" i="36" s="1"/>
  <c r="B37" i="36"/>
  <c r="I8" i="36"/>
  <c r="U9" i="36"/>
  <c r="U10" i="36"/>
  <c r="J10" i="36"/>
  <c r="K44" i="36" s="1"/>
  <c r="L24" i="41"/>
  <c r="L20" i="41"/>
  <c r="L21" i="41"/>
  <c r="L19" i="41"/>
  <c r="M19" i="41" s="1"/>
  <c r="L25" i="41"/>
  <c r="L27" i="41"/>
  <c r="L26" i="41"/>
  <c r="L23" i="41"/>
  <c r="L22" i="41"/>
  <c r="L28" i="41"/>
  <c r="F22" i="41"/>
  <c r="F20" i="41"/>
  <c r="F23" i="41"/>
  <c r="F27" i="41"/>
  <c r="F26" i="41"/>
  <c r="F28" i="41"/>
  <c r="F25" i="41"/>
  <c r="F19" i="41"/>
  <c r="G19" i="41" s="1"/>
  <c r="F21" i="41"/>
  <c r="F24" i="41"/>
  <c r="L33" i="41"/>
  <c r="L37" i="41"/>
  <c r="L34" i="41"/>
  <c r="L38" i="41"/>
  <c r="L40" i="41"/>
  <c r="L41" i="41"/>
  <c r="L35" i="41"/>
  <c r="L39" i="41"/>
  <c r="L32" i="41"/>
  <c r="M32" i="41" s="1"/>
  <c r="M33" i="41" s="1"/>
  <c r="L36" i="41"/>
  <c r="Q10" i="26"/>
  <c r="L42" i="22" s="1"/>
  <c r="J8" i="36"/>
  <c r="L8" i="36"/>
  <c r="J12" i="36"/>
  <c r="K12" i="36"/>
  <c r="K8" i="36"/>
  <c r="L12" i="36"/>
  <c r="H11" i="26"/>
  <c r="B12" i="26"/>
  <c r="B62" i="26" s="1"/>
  <c r="H47" i="41"/>
  <c r="H53" i="41"/>
  <c r="H49" i="41"/>
  <c r="H52" i="41"/>
  <c r="H51" i="41"/>
  <c r="H46" i="41"/>
  <c r="H50" i="41"/>
  <c r="H45" i="41"/>
  <c r="I45" i="41" s="1"/>
  <c r="H48" i="41"/>
  <c r="H54" i="41"/>
  <c r="J25" i="41"/>
  <c r="J22" i="41"/>
  <c r="J26" i="41"/>
  <c r="J27" i="41"/>
  <c r="J24" i="41"/>
  <c r="J21" i="41"/>
  <c r="J19" i="41"/>
  <c r="K19" i="41" s="1"/>
  <c r="J28" i="41"/>
  <c r="J23" i="41"/>
  <c r="J20" i="41"/>
  <c r="L76" i="41"/>
  <c r="L80" i="41"/>
  <c r="L75" i="41"/>
  <c r="L71" i="41"/>
  <c r="M71" i="41" s="1"/>
  <c r="L74" i="41"/>
  <c r="L73" i="41"/>
  <c r="L78" i="41"/>
  <c r="L77" i="41"/>
  <c r="L72" i="41"/>
  <c r="L79" i="41"/>
  <c r="T10" i="41"/>
  <c r="N28" i="41"/>
  <c r="N26" i="41"/>
  <c r="N20" i="41"/>
  <c r="N22" i="41"/>
  <c r="N24" i="41"/>
  <c r="N25" i="41"/>
  <c r="N23" i="41"/>
  <c r="N21" i="41"/>
  <c r="N27" i="41"/>
  <c r="N19" i="41"/>
  <c r="O19" i="41" s="1"/>
  <c r="R10" i="41"/>
  <c r="J51" i="41"/>
  <c r="J46" i="41"/>
  <c r="J48" i="41"/>
  <c r="J50" i="41"/>
  <c r="J53" i="41"/>
  <c r="J54" i="41"/>
  <c r="J45" i="41"/>
  <c r="K45" i="41" s="1"/>
  <c r="J52" i="41"/>
  <c r="J47" i="41"/>
  <c r="J49" i="41"/>
  <c r="K41" i="22"/>
  <c r="D4" i="22"/>
  <c r="T14" i="41"/>
  <c r="R14" i="41"/>
  <c r="N75" i="41"/>
  <c r="N76" i="41"/>
  <c r="N73" i="41"/>
  <c r="N80" i="41"/>
  <c r="N74" i="41"/>
  <c r="N77" i="41"/>
  <c r="N71" i="41"/>
  <c r="O71" i="41" s="1"/>
  <c r="N79" i="41"/>
  <c r="N72" i="41"/>
  <c r="N78" i="41"/>
  <c r="P20" i="41"/>
  <c r="P28" i="41"/>
  <c r="P24" i="41"/>
  <c r="P25" i="41"/>
  <c r="P19" i="41"/>
  <c r="Q19" i="41" s="1"/>
  <c r="Q20" i="41" s="1"/>
  <c r="P21" i="41"/>
  <c r="X10" i="41"/>
  <c r="P27" i="41"/>
  <c r="V10" i="41"/>
  <c r="P23" i="41"/>
  <c r="P26" i="41"/>
  <c r="P22" i="41"/>
  <c r="X14" i="41"/>
  <c r="P72" i="41"/>
  <c r="P76" i="41"/>
  <c r="P73" i="41"/>
  <c r="P71" i="41"/>
  <c r="Q71" i="41" s="1"/>
  <c r="V14" i="41"/>
  <c r="P74" i="41"/>
  <c r="P80" i="41"/>
  <c r="P77" i="41"/>
  <c r="P79" i="41"/>
  <c r="P78" i="41"/>
  <c r="P75" i="41"/>
  <c r="B65" i="41"/>
  <c r="B62" i="41"/>
  <c r="B60" i="41"/>
  <c r="B58" i="41"/>
  <c r="C58" i="41" s="1"/>
  <c r="B67" i="41"/>
  <c r="B66" i="41"/>
  <c r="B64" i="41"/>
  <c r="B63" i="41"/>
  <c r="B59" i="41"/>
  <c r="B61" i="41"/>
  <c r="J39" i="41"/>
  <c r="J40" i="41"/>
  <c r="J33" i="41"/>
  <c r="J36" i="41"/>
  <c r="J38" i="41"/>
  <c r="J35" i="41"/>
  <c r="J37" i="41"/>
  <c r="J41" i="41"/>
  <c r="J32" i="41"/>
  <c r="K32" i="41" s="1"/>
  <c r="J34" i="41"/>
  <c r="P36" i="41"/>
  <c r="P35" i="41"/>
  <c r="V11" i="41"/>
  <c r="P41" i="41"/>
  <c r="X11" i="41"/>
  <c r="P39" i="41"/>
  <c r="P34" i="41"/>
  <c r="P37" i="41"/>
  <c r="P40" i="41"/>
  <c r="P33" i="41"/>
  <c r="P38" i="41"/>
  <c r="P32" i="41"/>
  <c r="Q32" i="41" s="1"/>
  <c r="L10" i="36"/>
  <c r="M47" i="36" s="1"/>
  <c r="P48" i="41"/>
  <c r="P46" i="41"/>
  <c r="P45" i="41"/>
  <c r="Q45" i="41" s="1"/>
  <c r="P54" i="41"/>
  <c r="X12" i="41"/>
  <c r="P50" i="41"/>
  <c r="P51" i="41"/>
  <c r="P47" i="41"/>
  <c r="P49" i="41"/>
  <c r="P53" i="41"/>
  <c r="P52" i="41"/>
  <c r="V12" i="41"/>
  <c r="H36" i="41"/>
  <c r="H34" i="41"/>
  <c r="H33" i="41"/>
  <c r="H41" i="41"/>
  <c r="H32" i="41"/>
  <c r="I32" i="41" s="1"/>
  <c r="H40" i="41"/>
  <c r="H38" i="41"/>
  <c r="H37" i="41"/>
  <c r="H39" i="41"/>
  <c r="H35" i="41"/>
  <c r="N38" i="41"/>
  <c r="N39" i="41"/>
  <c r="N41" i="41"/>
  <c r="N40" i="41"/>
  <c r="N36" i="41"/>
  <c r="N32" i="41"/>
  <c r="O32" i="41" s="1"/>
  <c r="T11" i="41"/>
  <c r="R11" i="41"/>
  <c r="N35" i="41"/>
  <c r="N37" i="41"/>
  <c r="N33" i="41"/>
  <c r="N34" i="41"/>
  <c r="O10" i="26"/>
  <c r="J42" i="22" s="1"/>
  <c r="Q9" i="26"/>
  <c r="F9" i="26"/>
  <c r="O9" i="26"/>
  <c r="F13" i="26"/>
  <c r="H13" i="26"/>
  <c r="O13" i="26"/>
  <c r="H9" i="26"/>
  <c r="Q13" i="26"/>
  <c r="F11" i="26"/>
  <c r="J79" i="41"/>
  <c r="J76" i="41"/>
  <c r="J80" i="41"/>
  <c r="J77" i="41"/>
  <c r="J73" i="41"/>
  <c r="J74" i="41"/>
  <c r="J78" i="41"/>
  <c r="J71" i="41"/>
  <c r="K71" i="41" s="1"/>
  <c r="J75" i="41"/>
  <c r="J72" i="41"/>
  <c r="D67" i="41"/>
  <c r="D63" i="41"/>
  <c r="D59" i="41"/>
  <c r="D66" i="41"/>
  <c r="D62" i="41"/>
  <c r="D58" i="41"/>
  <c r="E58" i="41" s="1"/>
  <c r="D60" i="41"/>
  <c r="D65" i="41"/>
  <c r="D61" i="41"/>
  <c r="D64" i="41"/>
  <c r="K10" i="36"/>
  <c r="D45" i="36" s="1"/>
  <c r="F35" i="41"/>
  <c r="F38" i="41"/>
  <c r="F40" i="41"/>
  <c r="F36" i="41"/>
  <c r="F33" i="41"/>
  <c r="F41" i="41"/>
  <c r="F39" i="41"/>
  <c r="F37" i="41"/>
  <c r="F32" i="41"/>
  <c r="G32" i="41" s="1"/>
  <c r="G33" i="41" s="1"/>
  <c r="F34" i="41"/>
  <c r="F10" i="26"/>
  <c r="I14" i="15"/>
  <c r="M36" i="36"/>
  <c r="K33" i="36"/>
  <c r="F53" i="41"/>
  <c r="F46" i="41"/>
  <c r="F49" i="41"/>
  <c r="F52" i="41"/>
  <c r="F45" i="41"/>
  <c r="G45" i="41" s="1"/>
  <c r="F47" i="41"/>
  <c r="F48" i="41"/>
  <c r="F50" i="41"/>
  <c r="F51" i="41"/>
  <c r="F54" i="41"/>
  <c r="T12" i="41"/>
  <c r="R12" i="41"/>
  <c r="N52" i="41"/>
  <c r="N50" i="41"/>
  <c r="N47" i="41"/>
  <c r="N46" i="41"/>
  <c r="N48" i="41"/>
  <c r="N53" i="41"/>
  <c r="N45" i="41"/>
  <c r="O45" i="41" s="1"/>
  <c r="N49" i="41"/>
  <c r="N51" i="41"/>
  <c r="N54" i="41"/>
  <c r="H74" i="41"/>
  <c r="H71" i="41"/>
  <c r="I71" i="41" s="1"/>
  <c r="H77" i="41"/>
  <c r="H72" i="41"/>
  <c r="H79" i="41"/>
  <c r="H78" i="41"/>
  <c r="H80" i="41"/>
  <c r="H73" i="41"/>
  <c r="H76" i="41"/>
  <c r="H75" i="41"/>
  <c r="F79" i="41"/>
  <c r="F71" i="41"/>
  <c r="G71" i="41" s="1"/>
  <c r="F80" i="41"/>
  <c r="F73" i="41"/>
  <c r="F74" i="41"/>
  <c r="F75" i="41"/>
  <c r="F78" i="41"/>
  <c r="F72" i="41"/>
  <c r="F77" i="41"/>
  <c r="F76" i="41"/>
  <c r="H27" i="41"/>
  <c r="H19" i="41"/>
  <c r="I19" i="41" s="1"/>
  <c r="H26" i="41"/>
  <c r="H28" i="41"/>
  <c r="H21" i="41"/>
  <c r="H22" i="41"/>
  <c r="H25" i="41"/>
  <c r="H24" i="41"/>
  <c r="H23" i="41"/>
  <c r="H20" i="41"/>
  <c r="P8" i="36"/>
  <c r="M8" i="36"/>
  <c r="N8" i="36"/>
  <c r="N12" i="36"/>
  <c r="O12" i="36"/>
  <c r="P12" i="36"/>
  <c r="O8" i="36"/>
  <c r="M12" i="36"/>
  <c r="H10" i="26"/>
  <c r="L49" i="41"/>
  <c r="L51" i="41"/>
  <c r="L53" i="41"/>
  <c r="L52" i="41"/>
  <c r="L54" i="41"/>
  <c r="L47" i="41"/>
  <c r="L50" i="41"/>
  <c r="L46" i="41"/>
  <c r="L45" i="41"/>
  <c r="M45" i="41" s="1"/>
  <c r="L48" i="41"/>
  <c r="O10" i="36"/>
  <c r="H48" i="36" s="1"/>
  <c r="B64" i="26"/>
  <c r="B65" i="26"/>
  <c r="B61" i="26"/>
  <c r="H33" i="35"/>
  <c r="H30" i="35"/>
  <c r="H35" i="35"/>
  <c r="H38" i="35"/>
  <c r="H36" i="35"/>
  <c r="H37" i="35"/>
  <c r="H34" i="35"/>
  <c r="H32" i="35"/>
  <c r="H31" i="35"/>
  <c r="H29" i="35"/>
  <c r="I29" i="35" s="1"/>
  <c r="I30" i="35" s="1"/>
  <c r="B63" i="26"/>
  <c r="B60" i="26"/>
  <c r="B66" i="26"/>
  <c r="B59" i="26"/>
  <c r="B57" i="26"/>
  <c r="C57" i="26" s="1"/>
  <c r="B58" i="26"/>
  <c r="Q50" i="36"/>
  <c r="Q46" i="36"/>
  <c r="Q52" i="36"/>
  <c r="Q48" i="36"/>
  <c r="Q44" i="36"/>
  <c r="Q51" i="36"/>
  <c r="Q47" i="36"/>
  <c r="Q43" i="36"/>
  <c r="R43" i="36" s="1"/>
  <c r="Q49" i="36"/>
  <c r="Q45" i="36"/>
  <c r="O52" i="36"/>
  <c r="O48" i="36"/>
  <c r="O44" i="36"/>
  <c r="O50" i="36"/>
  <c r="O46" i="36"/>
  <c r="O49" i="36"/>
  <c r="O45" i="36"/>
  <c r="O51" i="36"/>
  <c r="O47" i="36"/>
  <c r="O43" i="36"/>
  <c r="P43" i="36" s="1"/>
  <c r="Q39" i="36"/>
  <c r="Q35" i="36"/>
  <c r="Q31" i="36"/>
  <c r="Q37" i="36"/>
  <c r="Q33" i="36"/>
  <c r="Q36" i="36"/>
  <c r="Q32" i="36"/>
  <c r="Q30" i="36"/>
  <c r="R30" i="36" s="1"/>
  <c r="Q38" i="36"/>
  <c r="Q34" i="36"/>
  <c r="H45" i="36"/>
  <c r="H51" i="36"/>
  <c r="O37" i="36"/>
  <c r="O33" i="36"/>
  <c r="O39" i="36"/>
  <c r="O35" i="36"/>
  <c r="O31" i="36"/>
  <c r="O38" i="36"/>
  <c r="O34" i="36"/>
  <c r="O30" i="36"/>
  <c r="P30" i="36" s="1"/>
  <c r="O32" i="36"/>
  <c r="O36" i="36"/>
  <c r="F50" i="36"/>
  <c r="F46" i="36"/>
  <c r="F49" i="36"/>
  <c r="F44" i="36"/>
  <c r="F48" i="36"/>
  <c r="F43" i="36"/>
  <c r="G43" i="36" s="1"/>
  <c r="F52" i="36"/>
  <c r="F47" i="36"/>
  <c r="F51" i="36"/>
  <c r="F45" i="36"/>
  <c r="D32" i="36"/>
  <c r="D36" i="36"/>
  <c r="D39" i="36"/>
  <c r="D38" i="36"/>
  <c r="D37" i="36"/>
  <c r="D35" i="36"/>
  <c r="D33" i="36"/>
  <c r="D31" i="36"/>
  <c r="D30" i="36"/>
  <c r="E30" i="36" s="1"/>
  <c r="D34" i="36"/>
  <c r="F39" i="36"/>
  <c r="F35" i="36"/>
  <c r="F31" i="36"/>
  <c r="F36" i="36"/>
  <c r="F38" i="36"/>
  <c r="F34" i="36"/>
  <c r="F30" i="36"/>
  <c r="G30" i="36" s="1"/>
  <c r="G31" i="36" s="1"/>
  <c r="F32" i="36"/>
  <c r="F37" i="36"/>
  <c r="F33" i="36"/>
  <c r="E8" i="22"/>
  <c r="E4" i="22"/>
  <c r="T39" i="26"/>
  <c r="T34" i="26"/>
  <c r="T36" i="26"/>
  <c r="T31" i="26"/>
  <c r="U31" i="26" s="1"/>
  <c r="T33" i="26"/>
  <c r="T38" i="26"/>
  <c r="T40" i="26"/>
  <c r="T35" i="26"/>
  <c r="T32" i="26"/>
  <c r="T37" i="26"/>
  <c r="R52" i="26"/>
  <c r="R46" i="26"/>
  <c r="R47" i="26"/>
  <c r="R44" i="26"/>
  <c r="S44" i="26" s="1"/>
  <c r="R49" i="26"/>
  <c r="R50" i="26"/>
  <c r="R45" i="26"/>
  <c r="R51" i="26"/>
  <c r="R48" i="26"/>
  <c r="R53" i="26"/>
  <c r="P45" i="26"/>
  <c r="P46" i="26"/>
  <c r="P53" i="26"/>
  <c r="P47" i="26"/>
  <c r="P48" i="26"/>
  <c r="P49" i="26"/>
  <c r="P50" i="26"/>
  <c r="P44" i="26"/>
  <c r="Q44" i="26" s="1"/>
  <c r="P52" i="26"/>
  <c r="P51" i="26"/>
  <c r="N53" i="26"/>
  <c r="N52" i="26"/>
  <c r="N51" i="26"/>
  <c r="N45" i="26"/>
  <c r="N50" i="26"/>
  <c r="N47" i="26"/>
  <c r="N46" i="26"/>
  <c r="N48" i="26"/>
  <c r="N44" i="26"/>
  <c r="O44" i="26" s="1"/>
  <c r="N49" i="26"/>
  <c r="T50" i="26"/>
  <c r="T45" i="26"/>
  <c r="T51" i="26"/>
  <c r="T53" i="26"/>
  <c r="T48" i="26"/>
  <c r="T49" i="26"/>
  <c r="T44" i="26"/>
  <c r="U44" i="26" s="1"/>
  <c r="T46" i="26"/>
  <c r="T47" i="26"/>
  <c r="T52" i="26"/>
  <c r="R37" i="26"/>
  <c r="R33" i="26"/>
  <c r="R32" i="26"/>
  <c r="R39" i="26"/>
  <c r="R35" i="26"/>
  <c r="R31" i="26"/>
  <c r="S31" i="26" s="1"/>
  <c r="R38" i="26"/>
  <c r="R34" i="26"/>
  <c r="R40" i="26"/>
  <c r="R36" i="26"/>
  <c r="N40" i="26"/>
  <c r="N37" i="26"/>
  <c r="A56" i="20"/>
  <c r="A42" i="20"/>
  <c r="A29" i="20"/>
  <c r="A16" i="20"/>
  <c r="C59" i="41" l="1"/>
  <c r="C60" i="41" s="1"/>
  <c r="H31" i="36"/>
  <c r="H35" i="36"/>
  <c r="H39" i="36"/>
  <c r="H33" i="36"/>
  <c r="H37" i="36"/>
  <c r="H32" i="36"/>
  <c r="H30" i="36"/>
  <c r="H34" i="36"/>
  <c r="H38" i="36"/>
  <c r="H36" i="36"/>
  <c r="R12" i="36"/>
  <c r="U12" i="36" s="1"/>
  <c r="X12" i="36"/>
  <c r="Y12" i="36" s="1"/>
  <c r="W12" i="36"/>
  <c r="R8" i="36"/>
  <c r="U8" i="36" s="1"/>
  <c r="X8" i="36"/>
  <c r="Y8" i="36" s="1"/>
  <c r="N39" i="26"/>
  <c r="H43" i="36"/>
  <c r="I43" i="36" s="1"/>
  <c r="H47" i="36"/>
  <c r="H49" i="36"/>
  <c r="H50" i="36"/>
  <c r="H52" i="36"/>
  <c r="H44" i="36"/>
  <c r="H46" i="36"/>
  <c r="M51" i="36"/>
  <c r="K46" i="36"/>
  <c r="B43" i="36"/>
  <c r="C43" i="36" s="1"/>
  <c r="K52" i="36"/>
  <c r="P34" i="26"/>
  <c r="B45" i="36"/>
  <c r="K43" i="36"/>
  <c r="L43" i="36" s="1"/>
  <c r="L44" i="36" s="1"/>
  <c r="M39" i="36"/>
  <c r="Q46" i="41"/>
  <c r="P38" i="26"/>
  <c r="N35" i="26"/>
  <c r="N34" i="26"/>
  <c r="N33" i="26"/>
  <c r="P36" i="26"/>
  <c r="B49" i="36"/>
  <c r="B44" i="36"/>
  <c r="B48" i="36"/>
  <c r="P35" i="26"/>
  <c r="B47" i="36"/>
  <c r="B46" i="36"/>
  <c r="B50" i="36"/>
  <c r="P33" i="26"/>
  <c r="P32" i="26"/>
  <c r="B52" i="36"/>
  <c r="D50" i="36"/>
  <c r="K33" i="41"/>
  <c r="M46" i="41"/>
  <c r="M47" i="41" s="1"/>
  <c r="M48" i="41" s="1"/>
  <c r="M49" i="41" s="1"/>
  <c r="M50" i="41" s="1"/>
  <c r="M51" i="41" s="1"/>
  <c r="M52" i="41" s="1"/>
  <c r="M53" i="41" s="1"/>
  <c r="M54" i="41" s="1"/>
  <c r="G20" i="41"/>
  <c r="G21" i="41" s="1"/>
  <c r="G22" i="41" s="1"/>
  <c r="G23" i="41" s="1"/>
  <c r="G24" i="41" s="1"/>
  <c r="G25" i="41" s="1"/>
  <c r="G26" i="41" s="1"/>
  <c r="G27" i="41" s="1"/>
  <c r="G28" i="41" s="1"/>
  <c r="G72" i="41"/>
  <c r="G73" i="41" s="1"/>
  <c r="G74" i="41" s="1"/>
  <c r="G75" i="41" s="1"/>
  <c r="G76" i="41" s="1"/>
  <c r="G77" i="41" s="1"/>
  <c r="G78" i="41" s="1"/>
  <c r="G79" i="41" s="1"/>
  <c r="G80" i="41" s="1"/>
  <c r="I33" i="41"/>
  <c r="I34" i="41" s="1"/>
  <c r="I35" i="41" s="1"/>
  <c r="I36" i="41" s="1"/>
  <c r="I37" i="41" s="1"/>
  <c r="I38" i="41" s="1"/>
  <c r="I39" i="41" s="1"/>
  <c r="I40" i="41" s="1"/>
  <c r="I41" i="41" s="1"/>
  <c r="M72" i="41"/>
  <c r="M73" i="41" s="1"/>
  <c r="M74" i="41" s="1"/>
  <c r="M75" i="41" s="1"/>
  <c r="M76" i="41" s="1"/>
  <c r="M77" i="41" s="1"/>
  <c r="M78" i="41" s="1"/>
  <c r="M79" i="41" s="1"/>
  <c r="M80" i="41" s="1"/>
  <c r="I46" i="41"/>
  <c r="I47" i="41" s="1"/>
  <c r="I48" i="41" s="1"/>
  <c r="I49" i="41" s="1"/>
  <c r="I50" i="41" s="1"/>
  <c r="I51" i="41" s="1"/>
  <c r="I52" i="41" s="1"/>
  <c r="I53" i="41" s="1"/>
  <c r="I54" i="41" s="1"/>
  <c r="K39" i="36"/>
  <c r="K36" i="36"/>
  <c r="N38" i="26"/>
  <c r="N32" i="26"/>
  <c r="M48" i="36"/>
  <c r="Q47" i="41"/>
  <c r="Q48" i="41" s="1"/>
  <c r="Q49" i="41" s="1"/>
  <c r="Q50" i="41" s="1"/>
  <c r="Q51" i="41" s="1"/>
  <c r="Q52" i="41" s="1"/>
  <c r="Q53" i="41" s="1"/>
  <c r="Q54" i="41" s="1"/>
  <c r="N31" i="26"/>
  <c r="O31" i="26" s="1"/>
  <c r="N36" i="26"/>
  <c r="M46" i="36"/>
  <c r="M52" i="36"/>
  <c r="M50" i="36"/>
  <c r="K37" i="36"/>
  <c r="M45" i="36"/>
  <c r="M43" i="36"/>
  <c r="N43" i="36" s="1"/>
  <c r="B35" i="36"/>
  <c r="K47" i="36"/>
  <c r="K51" i="36"/>
  <c r="M44" i="36"/>
  <c r="M49" i="36"/>
  <c r="B32" i="36"/>
  <c r="K30" i="36"/>
  <c r="L30" i="36" s="1"/>
  <c r="K32" i="36"/>
  <c r="K35" i="36"/>
  <c r="K38" i="36"/>
  <c r="K50" i="36"/>
  <c r="K34" i="36"/>
  <c r="K31" i="36"/>
  <c r="M30" i="36"/>
  <c r="N30" i="36" s="1"/>
  <c r="M34" i="36"/>
  <c r="M32" i="36"/>
  <c r="K45" i="36"/>
  <c r="K48" i="36"/>
  <c r="M33" i="36"/>
  <c r="M35" i="36"/>
  <c r="M38" i="36"/>
  <c r="K49" i="36"/>
  <c r="M37" i="36"/>
  <c r="M31" i="36"/>
  <c r="D52" i="36"/>
  <c r="D46" i="36"/>
  <c r="P39" i="26"/>
  <c r="P40" i="26"/>
  <c r="P31" i="26"/>
  <c r="Q31" i="26" s="1"/>
  <c r="Q32" i="26" s="1"/>
  <c r="P37" i="26"/>
  <c r="F23" i="36"/>
  <c r="F18" i="36"/>
  <c r="F24" i="36"/>
  <c r="F19" i="36"/>
  <c r="F25" i="36"/>
  <c r="F20" i="36"/>
  <c r="F17" i="36"/>
  <c r="G17" i="36" s="1"/>
  <c r="F26" i="36"/>
  <c r="F21" i="36"/>
  <c r="F22" i="36"/>
  <c r="J45" i="22"/>
  <c r="N79" i="26"/>
  <c r="N76" i="26"/>
  <c r="N73" i="26"/>
  <c r="N74" i="26"/>
  <c r="N71" i="26"/>
  <c r="N78" i="26"/>
  <c r="N77" i="26"/>
  <c r="N72" i="26"/>
  <c r="N75" i="26"/>
  <c r="N70" i="26"/>
  <c r="O70" i="26" s="1"/>
  <c r="B34" i="36"/>
  <c r="B38" i="36"/>
  <c r="B39" i="36"/>
  <c r="D49" i="36"/>
  <c r="D43" i="36"/>
  <c r="E43" i="36" s="1"/>
  <c r="F74" i="36"/>
  <c r="F76" i="36"/>
  <c r="F75" i="36"/>
  <c r="F70" i="36"/>
  <c r="F71" i="36"/>
  <c r="F77" i="36"/>
  <c r="F69" i="36"/>
  <c r="G69" i="36" s="1"/>
  <c r="F78" i="36"/>
  <c r="F72" i="36"/>
  <c r="F73" i="36"/>
  <c r="O72" i="36"/>
  <c r="O77" i="36"/>
  <c r="O71" i="36"/>
  <c r="O78" i="36"/>
  <c r="O73" i="36"/>
  <c r="O74" i="36"/>
  <c r="O69" i="36"/>
  <c r="P69" i="36" s="1"/>
  <c r="O76" i="36"/>
  <c r="O70" i="36"/>
  <c r="O75" i="36"/>
  <c r="I20" i="41"/>
  <c r="I21" i="41" s="1"/>
  <c r="I22" i="41" s="1"/>
  <c r="I23" i="41" s="1"/>
  <c r="I24" i="41" s="1"/>
  <c r="I25" i="41" s="1"/>
  <c r="I26" i="41" s="1"/>
  <c r="I27" i="41" s="1"/>
  <c r="I28" i="41" s="1"/>
  <c r="I72" i="41"/>
  <c r="I73" i="41" s="1"/>
  <c r="I74" i="41" s="1"/>
  <c r="I75" i="41" s="1"/>
  <c r="I76" i="41" s="1"/>
  <c r="I77" i="41" s="1"/>
  <c r="I78" i="41" s="1"/>
  <c r="I79" i="41" s="1"/>
  <c r="I80" i="41" s="1"/>
  <c r="I10" i="43"/>
  <c r="R54" i="41"/>
  <c r="R46" i="41"/>
  <c r="R49" i="41"/>
  <c r="R51" i="41"/>
  <c r="R47" i="41"/>
  <c r="R53" i="41"/>
  <c r="R48" i="41"/>
  <c r="R52" i="41"/>
  <c r="R50" i="41"/>
  <c r="R45" i="41"/>
  <c r="S45" i="41" s="1"/>
  <c r="S46" i="41" s="1"/>
  <c r="L45" i="22"/>
  <c r="P76" i="26"/>
  <c r="P77" i="26"/>
  <c r="P79" i="26"/>
  <c r="P72" i="26"/>
  <c r="P75" i="26"/>
  <c r="P73" i="26"/>
  <c r="P70" i="26"/>
  <c r="Q70" i="26" s="1"/>
  <c r="P74" i="26"/>
  <c r="P78" i="26"/>
  <c r="P71" i="26"/>
  <c r="Q33" i="41"/>
  <c r="Q34" i="41" s="1"/>
  <c r="Q35" i="41" s="1"/>
  <c r="Q36" i="41" s="1"/>
  <c r="Q37" i="41" s="1"/>
  <c r="Q38" i="41" s="1"/>
  <c r="Q39" i="41" s="1"/>
  <c r="Q40" i="41" s="1"/>
  <c r="Q41" i="41" s="1"/>
  <c r="C61" i="41"/>
  <c r="C62" i="41" s="1"/>
  <c r="C63" i="41" s="1"/>
  <c r="C64" i="41" s="1"/>
  <c r="C65" i="41" s="1"/>
  <c r="C66" i="41" s="1"/>
  <c r="C67" i="41" s="1"/>
  <c r="I8" i="43"/>
  <c r="R20" i="41"/>
  <c r="R25" i="41"/>
  <c r="R24" i="41"/>
  <c r="R27" i="41"/>
  <c r="R23" i="41"/>
  <c r="R26" i="41"/>
  <c r="R22" i="41"/>
  <c r="R19" i="41"/>
  <c r="S19" i="41" s="1"/>
  <c r="R28" i="41"/>
  <c r="R21" i="41"/>
  <c r="D75" i="36"/>
  <c r="D74" i="36"/>
  <c r="D76" i="36"/>
  <c r="D72" i="36"/>
  <c r="D70" i="36"/>
  <c r="D71" i="36"/>
  <c r="D73" i="36"/>
  <c r="D77" i="36"/>
  <c r="D69" i="36"/>
  <c r="E69" i="36" s="1"/>
  <c r="E70" i="36" s="1"/>
  <c r="D78" i="36"/>
  <c r="K23" i="36"/>
  <c r="K18" i="36"/>
  <c r="K25" i="36"/>
  <c r="K22" i="36"/>
  <c r="K20" i="36"/>
  <c r="K19" i="36"/>
  <c r="K24" i="36"/>
  <c r="K21" i="36"/>
  <c r="K17" i="36"/>
  <c r="L17" i="36" s="1"/>
  <c r="K26" i="36"/>
  <c r="M20" i="41"/>
  <c r="M21" i="41" s="1"/>
  <c r="M22" i="41" s="1"/>
  <c r="M23" i="41" s="1"/>
  <c r="M24" i="41" s="1"/>
  <c r="M25" i="41" s="1"/>
  <c r="M26" i="41" s="1"/>
  <c r="M27" i="41" s="1"/>
  <c r="M28" i="41" s="1"/>
  <c r="J9" i="43"/>
  <c r="T33" i="41"/>
  <c r="T39" i="41"/>
  <c r="T34" i="41"/>
  <c r="T32" i="41"/>
  <c r="U32" i="41" s="1"/>
  <c r="T38" i="41"/>
  <c r="T36" i="41"/>
  <c r="T41" i="41"/>
  <c r="T40" i="41"/>
  <c r="T37" i="41"/>
  <c r="T35" i="41"/>
  <c r="K12" i="43"/>
  <c r="V77" i="41"/>
  <c r="V80" i="41"/>
  <c r="V73" i="41"/>
  <c r="V72" i="41"/>
  <c r="V74" i="41"/>
  <c r="V78" i="41"/>
  <c r="V79" i="41"/>
  <c r="V75" i="41"/>
  <c r="V76" i="41"/>
  <c r="V71" i="41"/>
  <c r="W71" i="41" s="1"/>
  <c r="B30" i="36"/>
  <c r="C30" i="36" s="1"/>
  <c r="B33" i="36"/>
  <c r="D47" i="36"/>
  <c r="D44" i="36"/>
  <c r="D48" i="36"/>
  <c r="H21" i="36"/>
  <c r="H18" i="36"/>
  <c r="H24" i="36"/>
  <c r="H25" i="36"/>
  <c r="H22" i="36"/>
  <c r="H20" i="36"/>
  <c r="H19" i="36"/>
  <c r="H17" i="36"/>
  <c r="I17" i="36" s="1"/>
  <c r="H26" i="36"/>
  <c r="H23" i="36"/>
  <c r="O26" i="36"/>
  <c r="O21" i="36"/>
  <c r="O22" i="36"/>
  <c r="O17" i="36"/>
  <c r="P17" i="36" s="1"/>
  <c r="O25" i="36"/>
  <c r="O23" i="36"/>
  <c r="O18" i="36"/>
  <c r="O20" i="36"/>
  <c r="O19" i="36"/>
  <c r="O24" i="36"/>
  <c r="O46" i="41"/>
  <c r="O47" i="41" s="1"/>
  <c r="O48" i="41" s="1"/>
  <c r="O49" i="41" s="1"/>
  <c r="O50" i="41" s="1"/>
  <c r="O51" i="41" s="1"/>
  <c r="O52" i="41" s="1"/>
  <c r="O53" i="41" s="1"/>
  <c r="O54" i="41" s="1"/>
  <c r="J10" i="43"/>
  <c r="T49" i="41"/>
  <c r="T52" i="41"/>
  <c r="T48" i="41"/>
  <c r="T54" i="41"/>
  <c r="T50" i="41"/>
  <c r="T51" i="41"/>
  <c r="T46" i="41"/>
  <c r="T53" i="41"/>
  <c r="T45" i="41"/>
  <c r="U45" i="41" s="1"/>
  <c r="T47" i="41"/>
  <c r="G34" i="41"/>
  <c r="G35" i="41" s="1"/>
  <c r="G36" i="41" s="1"/>
  <c r="G37" i="41" s="1"/>
  <c r="G38" i="41" s="1"/>
  <c r="G39" i="41" s="1"/>
  <c r="G40" i="41" s="1"/>
  <c r="G41" i="41" s="1"/>
  <c r="J41" i="22"/>
  <c r="N20" i="26"/>
  <c r="N26" i="26"/>
  <c r="N23" i="26"/>
  <c r="N25" i="26"/>
  <c r="N27" i="26"/>
  <c r="N22" i="26"/>
  <c r="N21" i="26"/>
  <c r="N18" i="26"/>
  <c r="O18" i="26" s="1"/>
  <c r="N24" i="26"/>
  <c r="N19" i="26"/>
  <c r="I9" i="43"/>
  <c r="R39" i="41"/>
  <c r="R37" i="41"/>
  <c r="R36" i="41"/>
  <c r="R41" i="41"/>
  <c r="R40" i="41"/>
  <c r="R33" i="41"/>
  <c r="R38" i="41"/>
  <c r="R32" i="41"/>
  <c r="S32" i="41" s="1"/>
  <c r="R34" i="41"/>
  <c r="R35" i="41"/>
  <c r="K9" i="43"/>
  <c r="V35" i="41"/>
  <c r="V32" i="41"/>
  <c r="W32" i="41" s="1"/>
  <c r="V41" i="41"/>
  <c r="V33" i="41"/>
  <c r="V37" i="41"/>
  <c r="V40" i="41"/>
  <c r="V38" i="41"/>
  <c r="V39" i="41"/>
  <c r="V34" i="41"/>
  <c r="V36" i="41"/>
  <c r="K34" i="41"/>
  <c r="K35" i="41" s="1"/>
  <c r="K36" i="41" s="1"/>
  <c r="K37" i="41" s="1"/>
  <c r="K38" i="41" s="1"/>
  <c r="K39" i="41" s="1"/>
  <c r="K40" i="41" s="1"/>
  <c r="K41" i="41" s="1"/>
  <c r="L8" i="43"/>
  <c r="X20" i="41"/>
  <c r="X21" i="41"/>
  <c r="X27" i="41"/>
  <c r="X23" i="41"/>
  <c r="X28" i="41"/>
  <c r="X26" i="41"/>
  <c r="X22" i="41"/>
  <c r="X25" i="41"/>
  <c r="X24" i="41"/>
  <c r="X19" i="41"/>
  <c r="Y19" i="41" s="1"/>
  <c r="K46" i="41"/>
  <c r="K47" i="41" s="1"/>
  <c r="K48" i="41" s="1"/>
  <c r="K49" i="41" s="1"/>
  <c r="K50" i="41" s="1"/>
  <c r="K51" i="41" s="1"/>
  <c r="K52" i="41" s="1"/>
  <c r="K53" i="41" s="1"/>
  <c r="K54" i="41" s="1"/>
  <c r="O20" i="41"/>
  <c r="O21" i="41" s="1"/>
  <c r="O22" i="41" s="1"/>
  <c r="O23" i="41" s="1"/>
  <c r="O24" i="41" s="1"/>
  <c r="O25" i="41" s="1"/>
  <c r="O26" i="41" s="1"/>
  <c r="O27" i="41" s="1"/>
  <c r="O28" i="41" s="1"/>
  <c r="K20" i="41"/>
  <c r="K21" i="41" s="1"/>
  <c r="K22" i="41" s="1"/>
  <c r="K23" i="41" s="1"/>
  <c r="K24" i="41" s="1"/>
  <c r="K25" i="41" s="1"/>
  <c r="K26" i="41" s="1"/>
  <c r="K27" i="41" s="1"/>
  <c r="K28" i="41" s="1"/>
  <c r="M74" i="36"/>
  <c r="M75" i="36"/>
  <c r="M69" i="36"/>
  <c r="N69" i="36" s="1"/>
  <c r="M70" i="36"/>
  <c r="M71" i="36"/>
  <c r="M76" i="36"/>
  <c r="M77" i="36"/>
  <c r="M78" i="36"/>
  <c r="M72" i="36"/>
  <c r="M73" i="36"/>
  <c r="K75" i="36"/>
  <c r="K77" i="36"/>
  <c r="K71" i="36"/>
  <c r="K73" i="36"/>
  <c r="K69" i="36"/>
  <c r="L69" i="36" s="1"/>
  <c r="K76" i="36"/>
  <c r="K78" i="36"/>
  <c r="K74" i="36"/>
  <c r="K72" i="36"/>
  <c r="K70" i="36"/>
  <c r="Q76" i="36"/>
  <c r="Q77" i="36"/>
  <c r="Q78" i="36"/>
  <c r="Q72" i="36"/>
  <c r="Q73" i="36"/>
  <c r="Q74" i="36"/>
  <c r="Q75" i="36"/>
  <c r="Q69" i="36"/>
  <c r="R69" i="36" s="1"/>
  <c r="Q70" i="36"/>
  <c r="Q71" i="36"/>
  <c r="L10" i="43"/>
  <c r="X51" i="41"/>
  <c r="X48" i="41"/>
  <c r="X52" i="41"/>
  <c r="X53" i="41"/>
  <c r="X54" i="41"/>
  <c r="X50" i="41"/>
  <c r="X49" i="41"/>
  <c r="X46" i="41"/>
  <c r="X45" i="41"/>
  <c r="Y45" i="41" s="1"/>
  <c r="X47" i="41"/>
  <c r="I12" i="43"/>
  <c r="R75" i="41"/>
  <c r="R78" i="41"/>
  <c r="R76" i="41"/>
  <c r="R80" i="41"/>
  <c r="R77" i="41"/>
  <c r="R71" i="41"/>
  <c r="S71" i="41" s="1"/>
  <c r="R74" i="41"/>
  <c r="R72" i="41"/>
  <c r="R79" i="41"/>
  <c r="R73" i="41"/>
  <c r="B76" i="36"/>
  <c r="B69" i="36"/>
  <c r="C69" i="36" s="1"/>
  <c r="B77" i="36"/>
  <c r="B71" i="36"/>
  <c r="B70" i="36"/>
  <c r="B74" i="36"/>
  <c r="B73" i="36"/>
  <c r="B78" i="36"/>
  <c r="B75" i="36"/>
  <c r="B72" i="36"/>
  <c r="M20" i="36"/>
  <c r="M23" i="36"/>
  <c r="M19" i="36"/>
  <c r="M18" i="36"/>
  <c r="M25" i="36"/>
  <c r="M21" i="36"/>
  <c r="M22" i="36"/>
  <c r="M17" i="36"/>
  <c r="N17" i="36" s="1"/>
  <c r="M24" i="36"/>
  <c r="M26" i="36"/>
  <c r="B36" i="36"/>
  <c r="B31" i="36"/>
  <c r="C31" i="36" s="1"/>
  <c r="D51" i="36"/>
  <c r="I31" i="35"/>
  <c r="I32" i="35" s="1"/>
  <c r="I33" i="35" s="1"/>
  <c r="I34" i="35" s="1"/>
  <c r="I35" i="35" s="1"/>
  <c r="I36" i="35" s="1"/>
  <c r="I37" i="35" s="1"/>
  <c r="I38" i="35" s="1"/>
  <c r="H78" i="36"/>
  <c r="I30" i="36"/>
  <c r="H77" i="36"/>
  <c r="H74" i="36"/>
  <c r="H76" i="36"/>
  <c r="H75" i="36"/>
  <c r="H73" i="36"/>
  <c r="H72" i="36"/>
  <c r="H70" i="36"/>
  <c r="H71" i="36"/>
  <c r="H69" i="36"/>
  <c r="I69" i="36" s="1"/>
  <c r="Q25" i="36"/>
  <c r="Q20" i="36"/>
  <c r="Q26" i="36"/>
  <c r="Q21" i="36"/>
  <c r="Q23" i="36"/>
  <c r="Q22" i="36"/>
  <c r="Q24" i="36"/>
  <c r="Q17" i="36"/>
  <c r="R17" i="36" s="1"/>
  <c r="R18" i="36" s="1"/>
  <c r="R19" i="36" s="1"/>
  <c r="R20" i="36" s="1"/>
  <c r="R21" i="36" s="1"/>
  <c r="R22" i="36" s="1"/>
  <c r="R23" i="36" s="1"/>
  <c r="R24" i="36" s="1"/>
  <c r="R25" i="36" s="1"/>
  <c r="R26" i="36" s="1"/>
  <c r="Q19" i="36"/>
  <c r="Q18" i="36"/>
  <c r="G46" i="41"/>
  <c r="G47" i="41" s="1"/>
  <c r="G48" i="41" s="1"/>
  <c r="G49" i="41" s="1"/>
  <c r="G50" i="41" s="1"/>
  <c r="G51" i="41" s="1"/>
  <c r="G52" i="41" s="1"/>
  <c r="G53" i="41" s="1"/>
  <c r="G54" i="41" s="1"/>
  <c r="E59" i="41"/>
  <c r="E60" i="41" s="1"/>
  <c r="E61" i="41" s="1"/>
  <c r="E62" i="41" s="1"/>
  <c r="E63" i="41" s="1"/>
  <c r="E64" i="41" s="1"/>
  <c r="E65" i="41" s="1"/>
  <c r="E66" i="41" s="1"/>
  <c r="E67" i="41" s="1"/>
  <c r="K72" i="41"/>
  <c r="K73" i="41" s="1"/>
  <c r="K74" i="41" s="1"/>
  <c r="K75" i="41" s="1"/>
  <c r="K76" i="41" s="1"/>
  <c r="K77" i="41" s="1"/>
  <c r="K78" i="41" s="1"/>
  <c r="K79" i="41" s="1"/>
  <c r="K80" i="41" s="1"/>
  <c r="L41" i="22"/>
  <c r="P20" i="26"/>
  <c r="P26" i="26"/>
  <c r="P27" i="26"/>
  <c r="P22" i="26"/>
  <c r="P24" i="26"/>
  <c r="P21" i="26"/>
  <c r="P18" i="26"/>
  <c r="Q18" i="26" s="1"/>
  <c r="P23" i="26"/>
  <c r="P25" i="26"/>
  <c r="P19" i="26"/>
  <c r="O33" i="41"/>
  <c r="O34" i="41" s="1"/>
  <c r="O35" i="41" s="1"/>
  <c r="O36" i="41" s="1"/>
  <c r="O37" i="41" s="1"/>
  <c r="O38" i="41" s="1"/>
  <c r="O39" i="41" s="1"/>
  <c r="O40" i="41" s="1"/>
  <c r="O41" i="41" s="1"/>
  <c r="K10" i="43"/>
  <c r="V51" i="41"/>
  <c r="V52" i="41"/>
  <c r="V49" i="41"/>
  <c r="V48" i="41"/>
  <c r="V45" i="41"/>
  <c r="W45" i="41" s="1"/>
  <c r="V50" i="41"/>
  <c r="V47" i="41"/>
  <c r="V46" i="41"/>
  <c r="V53" i="41"/>
  <c r="V54" i="41"/>
  <c r="L9" i="43"/>
  <c r="X41" i="41"/>
  <c r="X33" i="41"/>
  <c r="X36" i="41"/>
  <c r="X32" i="41"/>
  <c r="Y32" i="41" s="1"/>
  <c r="X40" i="41"/>
  <c r="X34" i="41"/>
  <c r="X35" i="41"/>
  <c r="X39" i="41"/>
  <c r="X38" i="41"/>
  <c r="X37" i="41"/>
  <c r="Q72" i="41"/>
  <c r="Q73" i="41" s="1"/>
  <c r="Q74" i="41" s="1"/>
  <c r="Q75" i="41" s="1"/>
  <c r="Q76" i="41" s="1"/>
  <c r="Q77" i="41" s="1"/>
  <c r="Q78" i="41" s="1"/>
  <c r="Q79" i="41" s="1"/>
  <c r="Q80" i="41" s="1"/>
  <c r="L12" i="43"/>
  <c r="X80" i="41"/>
  <c r="X71" i="41"/>
  <c r="Y71" i="41" s="1"/>
  <c r="X76" i="41"/>
  <c r="X73" i="41"/>
  <c r="X72" i="41"/>
  <c r="X74" i="41"/>
  <c r="X78" i="41"/>
  <c r="X79" i="41"/>
  <c r="X77" i="41"/>
  <c r="X75" i="41"/>
  <c r="K8" i="43"/>
  <c r="V20" i="41"/>
  <c r="V21" i="41"/>
  <c r="V28" i="41"/>
  <c r="V27" i="41"/>
  <c r="V26" i="41"/>
  <c r="V24" i="41"/>
  <c r="V22" i="41"/>
  <c r="V23" i="41"/>
  <c r="V25" i="41"/>
  <c r="V19" i="41"/>
  <c r="W19" i="41" s="1"/>
  <c r="Q21" i="41"/>
  <c r="Q22" i="41" s="1"/>
  <c r="Q23" i="41" s="1"/>
  <c r="Q24" i="41" s="1"/>
  <c r="Q25" i="41" s="1"/>
  <c r="Q26" i="41" s="1"/>
  <c r="Q27" i="41" s="1"/>
  <c r="Q28" i="41" s="1"/>
  <c r="O72" i="41"/>
  <c r="O73" i="41" s="1"/>
  <c r="O74" i="41" s="1"/>
  <c r="O75" i="41" s="1"/>
  <c r="O76" i="41" s="1"/>
  <c r="O77" i="41" s="1"/>
  <c r="O78" i="41" s="1"/>
  <c r="O79" i="41" s="1"/>
  <c r="O80" i="41" s="1"/>
  <c r="J12" i="43"/>
  <c r="T79" i="41"/>
  <c r="T74" i="41"/>
  <c r="T80" i="41"/>
  <c r="T73" i="41"/>
  <c r="T72" i="41"/>
  <c r="T75" i="41"/>
  <c r="T71" i="41"/>
  <c r="U71" i="41" s="1"/>
  <c r="T77" i="41"/>
  <c r="T76" i="41"/>
  <c r="T78" i="41"/>
  <c r="J8" i="43"/>
  <c r="T27" i="41"/>
  <c r="T28" i="41"/>
  <c r="T20" i="41"/>
  <c r="T23" i="41"/>
  <c r="T19" i="41"/>
  <c r="U19" i="41" s="1"/>
  <c r="T24" i="41"/>
  <c r="T25" i="41"/>
  <c r="T26" i="41"/>
  <c r="T22" i="41"/>
  <c r="T21" i="41"/>
  <c r="D19" i="36"/>
  <c r="D26" i="36"/>
  <c r="D22" i="36"/>
  <c r="D24" i="36"/>
  <c r="D20" i="36"/>
  <c r="D25" i="36"/>
  <c r="D17" i="36"/>
  <c r="E17" i="36" s="1"/>
  <c r="D23" i="36"/>
  <c r="D21" i="36"/>
  <c r="D18" i="36"/>
  <c r="B21" i="36"/>
  <c r="B24" i="36"/>
  <c r="B25" i="36"/>
  <c r="B22" i="36"/>
  <c r="B26" i="36"/>
  <c r="B17" i="36"/>
  <c r="C17" i="36" s="1"/>
  <c r="B20" i="36"/>
  <c r="B23" i="36"/>
  <c r="B18" i="36"/>
  <c r="B19" i="36"/>
  <c r="M34" i="41"/>
  <c r="M35" i="41" s="1"/>
  <c r="M36" i="41" s="1"/>
  <c r="M37" i="41" s="1"/>
  <c r="M38" i="41" s="1"/>
  <c r="M39" i="41" s="1"/>
  <c r="M40" i="41" s="1"/>
  <c r="M41" i="41" s="1"/>
  <c r="C58" i="26"/>
  <c r="C59" i="26" s="1"/>
  <c r="C60" i="26" s="1"/>
  <c r="C61" i="26" s="1"/>
  <c r="C62" i="26" s="1"/>
  <c r="C63" i="26" s="1"/>
  <c r="C64" i="26" s="1"/>
  <c r="C65" i="26" s="1"/>
  <c r="C66" i="26" s="1"/>
  <c r="P31" i="36"/>
  <c r="P32" i="36" s="1"/>
  <c r="P33" i="36" s="1"/>
  <c r="P34" i="36" s="1"/>
  <c r="P35" i="36" s="1"/>
  <c r="P36" i="36" s="1"/>
  <c r="P37" i="36" s="1"/>
  <c r="P38" i="36" s="1"/>
  <c r="P39" i="36" s="1"/>
  <c r="P44" i="36"/>
  <c r="P45" i="36" s="1"/>
  <c r="P46" i="36" s="1"/>
  <c r="P47" i="36" s="1"/>
  <c r="P48" i="36" s="1"/>
  <c r="P49" i="36" s="1"/>
  <c r="P50" i="36" s="1"/>
  <c r="P51" i="36" s="1"/>
  <c r="P52" i="36" s="1"/>
  <c r="R44" i="36"/>
  <c r="R45" i="36" s="1"/>
  <c r="R46" i="36" s="1"/>
  <c r="R47" i="36" s="1"/>
  <c r="R48" i="36" s="1"/>
  <c r="R49" i="36" s="1"/>
  <c r="R50" i="36" s="1"/>
  <c r="R51" i="36" s="1"/>
  <c r="R52" i="36" s="1"/>
  <c r="G44" i="36"/>
  <c r="G45" i="36" s="1"/>
  <c r="G46" i="36" s="1"/>
  <c r="G47" i="36" s="1"/>
  <c r="G48" i="36" s="1"/>
  <c r="G49" i="36" s="1"/>
  <c r="G50" i="36" s="1"/>
  <c r="G51" i="36" s="1"/>
  <c r="G52" i="36" s="1"/>
  <c r="R31" i="36"/>
  <c r="R32" i="36" s="1"/>
  <c r="R33" i="36" s="1"/>
  <c r="R34" i="36" s="1"/>
  <c r="R35" i="36" s="1"/>
  <c r="R36" i="36" s="1"/>
  <c r="R37" i="36" s="1"/>
  <c r="R38" i="36" s="1"/>
  <c r="R39" i="36" s="1"/>
  <c r="E31" i="36"/>
  <c r="E32" i="36" s="1"/>
  <c r="E33" i="36" s="1"/>
  <c r="E34" i="36" s="1"/>
  <c r="E35" i="36" s="1"/>
  <c r="E36" i="36" s="1"/>
  <c r="E37" i="36" s="1"/>
  <c r="E38" i="36" s="1"/>
  <c r="E39" i="36" s="1"/>
  <c r="G32" i="36"/>
  <c r="G33" i="36" s="1"/>
  <c r="G34" i="36" s="1"/>
  <c r="G35" i="36" s="1"/>
  <c r="G36" i="36" s="1"/>
  <c r="G37" i="36" s="1"/>
  <c r="G38" i="36" s="1"/>
  <c r="G39" i="36" s="1"/>
  <c r="S45" i="26"/>
  <c r="S46" i="26" s="1"/>
  <c r="S47" i="26" s="1"/>
  <c r="S48" i="26" s="1"/>
  <c r="S49" i="26" s="1"/>
  <c r="S50" i="26" s="1"/>
  <c r="S51" i="26" s="1"/>
  <c r="S52" i="26" s="1"/>
  <c r="S53" i="26" s="1"/>
  <c r="I20" i="17" s="1"/>
  <c r="L6" i="22" s="1"/>
  <c r="Q45" i="26"/>
  <c r="Q46" i="26" s="1"/>
  <c r="Q47" i="26" s="1"/>
  <c r="Q48" i="26" s="1"/>
  <c r="Q49" i="26" s="1"/>
  <c r="Q50" i="26" s="1"/>
  <c r="Q51" i="26" s="1"/>
  <c r="Q52" i="26" s="1"/>
  <c r="Q53" i="26" s="1"/>
  <c r="J12" i="17" s="1"/>
  <c r="U32" i="26"/>
  <c r="U33" i="26" s="1"/>
  <c r="U34" i="26" s="1"/>
  <c r="U35" i="26" s="1"/>
  <c r="U45" i="26"/>
  <c r="U46" i="26" s="1"/>
  <c r="U47" i="26" s="1"/>
  <c r="U48" i="26" s="1"/>
  <c r="O45" i="26"/>
  <c r="O46" i="26" s="1"/>
  <c r="O47" i="26" s="1"/>
  <c r="O48" i="26" s="1"/>
  <c r="O49" i="26" s="1"/>
  <c r="O50" i="26" s="1"/>
  <c r="O51" i="26" s="1"/>
  <c r="O52" i="26" s="1"/>
  <c r="O53" i="26" s="1"/>
  <c r="I12" i="17" s="1"/>
  <c r="J6" i="22" s="1"/>
  <c r="S32" i="26"/>
  <c r="S33" i="26" s="1"/>
  <c r="S34" i="26" s="1"/>
  <c r="S35" i="26" s="1"/>
  <c r="S36" i="26" s="1"/>
  <c r="S37" i="26" s="1"/>
  <c r="S38" i="26" s="1"/>
  <c r="S39" i="26" s="1"/>
  <c r="S40" i="26" s="1"/>
  <c r="I19" i="17" s="1"/>
  <c r="L5" i="22" s="1"/>
  <c r="B13" i="20"/>
  <c r="P18" i="36" l="1"/>
  <c r="P19" i="36" s="1"/>
  <c r="I18" i="36"/>
  <c r="I19" i="36" s="1"/>
  <c r="I20" i="36" s="1"/>
  <c r="I21" i="36" s="1"/>
  <c r="I22" i="36" s="1"/>
  <c r="I23" i="36" s="1"/>
  <c r="I24" i="36" s="1"/>
  <c r="I25" i="36" s="1"/>
  <c r="I26" i="36" s="1"/>
  <c r="I31" i="36"/>
  <c r="I32" i="36" s="1"/>
  <c r="I33" i="36" s="1"/>
  <c r="I34" i="36" s="1"/>
  <c r="I35" i="36" s="1"/>
  <c r="I36" i="36" s="1"/>
  <c r="I37" i="36" s="1"/>
  <c r="I38" i="36" s="1"/>
  <c r="I39" i="36" s="1"/>
  <c r="P70" i="36"/>
  <c r="P71" i="36" s="1"/>
  <c r="P72" i="36" s="1"/>
  <c r="P73" i="36" s="1"/>
  <c r="I44" i="36"/>
  <c r="I45" i="36" s="1"/>
  <c r="I46" i="36" s="1"/>
  <c r="I47" i="36" s="1"/>
  <c r="I48" i="36" s="1"/>
  <c r="I49" i="36" s="1"/>
  <c r="I50" i="36" s="1"/>
  <c r="I51" i="36" s="1"/>
  <c r="I52" i="36" s="1"/>
  <c r="W20" i="41"/>
  <c r="W21" i="41" s="1"/>
  <c r="W22" i="41" s="1"/>
  <c r="W23" i="41" s="1"/>
  <c r="W24" i="41" s="1"/>
  <c r="W25" i="41" s="1"/>
  <c r="W26" i="41" s="1"/>
  <c r="W27" i="41" s="1"/>
  <c r="W28" i="41" s="1"/>
  <c r="F6" i="45" s="1"/>
  <c r="Q33" i="26"/>
  <c r="Q34" i="26" s="1"/>
  <c r="Q35" i="26" s="1"/>
  <c r="Q36" i="26" s="1"/>
  <c r="Q37" i="26" s="1"/>
  <c r="Q38" i="26" s="1"/>
  <c r="Q39" i="26" s="1"/>
  <c r="Q40" i="26" s="1"/>
  <c r="J11" i="17" s="1"/>
  <c r="C44" i="36"/>
  <c r="C45" i="36" s="1"/>
  <c r="C46" i="36" s="1"/>
  <c r="C47" i="36" s="1"/>
  <c r="C48" i="36" s="1"/>
  <c r="C49" i="36" s="1"/>
  <c r="C50" i="36" s="1"/>
  <c r="C51" i="36" s="1"/>
  <c r="C52" i="36" s="1"/>
  <c r="U33" i="41"/>
  <c r="U34" i="41" s="1"/>
  <c r="U35" i="41" s="1"/>
  <c r="U36" i="41" s="1"/>
  <c r="U37" i="41" s="1"/>
  <c r="U38" i="41" s="1"/>
  <c r="U39" i="41" s="1"/>
  <c r="U40" i="41" s="1"/>
  <c r="U41" i="41" s="1"/>
  <c r="D7" i="45" s="1"/>
  <c r="O32" i="26"/>
  <c r="O33" i="26" s="1"/>
  <c r="O34" i="26" s="1"/>
  <c r="O35" i="26" s="1"/>
  <c r="O36" i="26" s="1"/>
  <c r="O37" i="26" s="1"/>
  <c r="O38" i="26" s="1"/>
  <c r="O39" i="26" s="1"/>
  <c r="O40" i="26" s="1"/>
  <c r="I11" i="17" s="1"/>
  <c r="J5" i="22" s="1"/>
  <c r="W33" i="41"/>
  <c r="W34" i="41" s="1"/>
  <c r="W35" i="41" s="1"/>
  <c r="W36" i="41" s="1"/>
  <c r="W37" i="41" s="1"/>
  <c r="W38" i="41" s="1"/>
  <c r="W39" i="41" s="1"/>
  <c r="W40" i="41" s="1"/>
  <c r="W41" i="41" s="1"/>
  <c r="F7" i="45" s="1"/>
  <c r="C32" i="36"/>
  <c r="C33" i="36" s="1"/>
  <c r="C34" i="36" s="1"/>
  <c r="C35" i="36" s="1"/>
  <c r="C36" i="36" s="1"/>
  <c r="C37" i="36" s="1"/>
  <c r="C38" i="36" s="1"/>
  <c r="C39" i="36" s="1"/>
  <c r="N44" i="36"/>
  <c r="N45" i="36" s="1"/>
  <c r="N46" i="36" s="1"/>
  <c r="N47" i="36" s="1"/>
  <c r="N48" i="36" s="1"/>
  <c r="N49" i="36" s="1"/>
  <c r="N50" i="36" s="1"/>
  <c r="N51" i="36" s="1"/>
  <c r="N52" i="36" s="1"/>
  <c r="L31" i="36"/>
  <c r="L32" i="36" s="1"/>
  <c r="L33" i="36" s="1"/>
  <c r="L34" i="36" s="1"/>
  <c r="L35" i="36" s="1"/>
  <c r="L36" i="36" s="1"/>
  <c r="L37" i="36" s="1"/>
  <c r="L38" i="36" s="1"/>
  <c r="L39" i="36" s="1"/>
  <c r="N31" i="36"/>
  <c r="N32" i="36" s="1"/>
  <c r="N33" i="36" s="1"/>
  <c r="N34" i="36" s="1"/>
  <c r="N35" i="36" s="1"/>
  <c r="N36" i="36" s="1"/>
  <c r="N37" i="36" s="1"/>
  <c r="N38" i="36" s="1"/>
  <c r="N39" i="36" s="1"/>
  <c r="E44" i="36"/>
  <c r="E45" i="36" s="1"/>
  <c r="E46" i="36" s="1"/>
  <c r="E47" i="36" s="1"/>
  <c r="E48" i="36" s="1"/>
  <c r="E49" i="36" s="1"/>
  <c r="E50" i="36" s="1"/>
  <c r="E51" i="36" s="1"/>
  <c r="E52" i="36" s="1"/>
  <c r="C18" i="36"/>
  <c r="C19" i="36" s="1"/>
  <c r="C20" i="36" s="1"/>
  <c r="C21" i="36" s="1"/>
  <c r="C22" i="36" s="1"/>
  <c r="C23" i="36" s="1"/>
  <c r="C24" i="36" s="1"/>
  <c r="C25" i="36" s="1"/>
  <c r="C26" i="36" s="1"/>
  <c r="N18" i="36"/>
  <c r="N19" i="36" s="1"/>
  <c r="N20" i="36" s="1"/>
  <c r="N21" i="36" s="1"/>
  <c r="N22" i="36" s="1"/>
  <c r="N23" i="36" s="1"/>
  <c r="N24" i="36" s="1"/>
  <c r="N25" i="36" s="1"/>
  <c r="N26" i="36" s="1"/>
  <c r="L45" i="36"/>
  <c r="L46" i="36" s="1"/>
  <c r="L47" i="36" s="1"/>
  <c r="L48" i="36" s="1"/>
  <c r="L49" i="36" s="1"/>
  <c r="L50" i="36" s="1"/>
  <c r="L51" i="36" s="1"/>
  <c r="L52" i="36" s="1"/>
  <c r="U72" i="41"/>
  <c r="U73" i="41" s="1"/>
  <c r="U74" i="41" s="1"/>
  <c r="U75" i="41" s="1"/>
  <c r="U76" i="41" s="1"/>
  <c r="U77" i="41" s="1"/>
  <c r="U78" i="41" s="1"/>
  <c r="U79" i="41" s="1"/>
  <c r="U80" i="41" s="1"/>
  <c r="D10" i="45" s="1"/>
  <c r="Y20" i="41"/>
  <c r="Y21" i="41" s="1"/>
  <c r="Y22" i="41" s="1"/>
  <c r="Y23" i="41" s="1"/>
  <c r="Y24" i="41" s="1"/>
  <c r="Y25" i="41" s="1"/>
  <c r="Y26" i="41" s="1"/>
  <c r="Y27" i="41" s="1"/>
  <c r="Y28" i="41" s="1"/>
  <c r="G6" i="45" s="1"/>
  <c r="S20" i="41"/>
  <c r="S21" i="41" s="1"/>
  <c r="S22" i="41" s="1"/>
  <c r="S23" i="41" s="1"/>
  <c r="S24" i="41" s="1"/>
  <c r="S25" i="41" s="1"/>
  <c r="S26" i="41" s="1"/>
  <c r="S27" i="41" s="1"/>
  <c r="S28" i="41" s="1"/>
  <c r="C6" i="45" s="1"/>
  <c r="L70" i="36"/>
  <c r="L71" i="36" s="1"/>
  <c r="L72" i="36" s="1"/>
  <c r="L73" i="36" s="1"/>
  <c r="L74" i="36" s="1"/>
  <c r="L75" i="36" s="1"/>
  <c r="L76" i="36" s="1"/>
  <c r="L77" i="36" s="1"/>
  <c r="L78" i="36" s="1"/>
  <c r="N70" i="36"/>
  <c r="N71" i="36" s="1"/>
  <c r="N72" i="36" s="1"/>
  <c r="N73" i="36" s="1"/>
  <c r="N74" i="36" s="1"/>
  <c r="N75" i="36" s="1"/>
  <c r="N76" i="36" s="1"/>
  <c r="N77" i="36" s="1"/>
  <c r="N78" i="36" s="1"/>
  <c r="Y33" i="41"/>
  <c r="Y34" i="41" s="1"/>
  <c r="Y35" i="41" s="1"/>
  <c r="Y36" i="41" s="1"/>
  <c r="Y37" i="41" s="1"/>
  <c r="Y38" i="41" s="1"/>
  <c r="Y39" i="41" s="1"/>
  <c r="Y40" i="41" s="1"/>
  <c r="Y41" i="41" s="1"/>
  <c r="G7" i="45" s="1"/>
  <c r="U46" i="41"/>
  <c r="U47" i="41" s="1"/>
  <c r="U48" i="41" s="1"/>
  <c r="U49" i="41" s="1"/>
  <c r="U50" i="41" s="1"/>
  <c r="U51" i="41" s="1"/>
  <c r="U52" i="41" s="1"/>
  <c r="U53" i="41" s="1"/>
  <c r="U54" i="41" s="1"/>
  <c r="D8" i="45" s="1"/>
  <c r="W72" i="41"/>
  <c r="W73" i="41" s="1"/>
  <c r="W74" i="41" s="1"/>
  <c r="W75" i="41" s="1"/>
  <c r="W76" i="41" s="1"/>
  <c r="W77" i="41" s="1"/>
  <c r="W78" i="41" s="1"/>
  <c r="W79" i="41" s="1"/>
  <c r="W80" i="41" s="1"/>
  <c r="F10" i="45" s="1"/>
  <c r="O19" i="26"/>
  <c r="O20" i="26" s="1"/>
  <c r="O21" i="26" s="1"/>
  <c r="O22" i="26" s="1"/>
  <c r="O23" i="26" s="1"/>
  <c r="O24" i="26" s="1"/>
  <c r="O25" i="26" s="1"/>
  <c r="O26" i="26" s="1"/>
  <c r="O27" i="26" s="1"/>
  <c r="I10" i="17" s="1"/>
  <c r="J4" i="22" s="1"/>
  <c r="K22" i="43"/>
  <c r="K18" i="43"/>
  <c r="K17" i="43"/>
  <c r="L17" i="43" s="1"/>
  <c r="K23" i="43"/>
  <c r="K19" i="43"/>
  <c r="K25" i="43"/>
  <c r="K20" i="43"/>
  <c r="K21" i="43"/>
  <c r="K26" i="43"/>
  <c r="K24" i="43"/>
  <c r="G17" i="43"/>
  <c r="H17" i="43" s="1"/>
  <c r="G19" i="43"/>
  <c r="G24" i="43"/>
  <c r="G26" i="43"/>
  <c r="G25" i="43"/>
  <c r="G20" i="43"/>
  <c r="G22" i="43"/>
  <c r="G21" i="43"/>
  <c r="G23" i="43"/>
  <c r="G18" i="43"/>
  <c r="G46" i="43"/>
  <c r="G48" i="43"/>
  <c r="G43" i="43"/>
  <c r="H43" i="43" s="1"/>
  <c r="G49" i="43"/>
  <c r="G44" i="43"/>
  <c r="G45" i="43"/>
  <c r="G51" i="43"/>
  <c r="G50" i="43"/>
  <c r="G52" i="43"/>
  <c r="G47" i="43"/>
  <c r="I70" i="36"/>
  <c r="I71" i="36" s="1"/>
  <c r="I72" i="36" s="1"/>
  <c r="I73" i="36" s="1"/>
  <c r="I74" i="36" s="1"/>
  <c r="I75" i="36" s="1"/>
  <c r="I76" i="36" s="1"/>
  <c r="I77" i="36" s="1"/>
  <c r="I78" i="36" s="1"/>
  <c r="M46" i="43"/>
  <c r="M44" i="43"/>
  <c r="M47" i="43"/>
  <c r="M45" i="43"/>
  <c r="M48" i="43"/>
  <c r="M49" i="43"/>
  <c r="M52" i="43"/>
  <c r="M50" i="43"/>
  <c r="M43" i="43"/>
  <c r="N43" i="43" s="1"/>
  <c r="M51" i="43"/>
  <c r="M19" i="43"/>
  <c r="M26" i="43"/>
  <c r="M22" i="43"/>
  <c r="M20" i="43"/>
  <c r="M23" i="43"/>
  <c r="M56" i="43"/>
  <c r="N56" i="43" s="1"/>
  <c r="M17" i="43"/>
  <c r="N17" i="43" s="1"/>
  <c r="M24" i="43"/>
  <c r="M25" i="43"/>
  <c r="M18" i="43"/>
  <c r="M21" i="43"/>
  <c r="G30" i="43"/>
  <c r="H30" i="43" s="1"/>
  <c r="G32" i="43"/>
  <c r="G37" i="43"/>
  <c r="G39" i="43"/>
  <c r="G38" i="43"/>
  <c r="G33" i="43"/>
  <c r="G35" i="43"/>
  <c r="G34" i="43"/>
  <c r="G36" i="43"/>
  <c r="G31" i="43"/>
  <c r="E18" i="36"/>
  <c r="E19" i="36" s="1"/>
  <c r="E20" i="36" s="1"/>
  <c r="E21" i="36" s="1"/>
  <c r="E22" i="36" s="1"/>
  <c r="E23" i="36" s="1"/>
  <c r="E24" i="36" s="1"/>
  <c r="E25" i="36" s="1"/>
  <c r="E26" i="36" s="1"/>
  <c r="K72" i="43"/>
  <c r="K74" i="43"/>
  <c r="K69" i="43"/>
  <c r="L69" i="43" s="1"/>
  <c r="K75" i="43"/>
  <c r="K70" i="43"/>
  <c r="K71" i="43"/>
  <c r="K77" i="43"/>
  <c r="K76" i="43"/>
  <c r="K78" i="43"/>
  <c r="K73" i="43"/>
  <c r="M75" i="43"/>
  <c r="M70" i="43"/>
  <c r="M71" i="43"/>
  <c r="M77" i="43"/>
  <c r="M76" i="43"/>
  <c r="M78" i="43"/>
  <c r="M73" i="43"/>
  <c r="M72" i="43"/>
  <c r="M74" i="43"/>
  <c r="M69" i="43"/>
  <c r="N69" i="43" s="1"/>
  <c r="N70" i="43" s="1"/>
  <c r="M35" i="43"/>
  <c r="M30" i="43"/>
  <c r="N30" i="43" s="1"/>
  <c r="M36" i="43"/>
  <c r="M31" i="43"/>
  <c r="M37" i="43"/>
  <c r="M32" i="43"/>
  <c r="M38" i="43"/>
  <c r="M33" i="43"/>
  <c r="M39" i="43"/>
  <c r="M34" i="43"/>
  <c r="Q19" i="26"/>
  <c r="Q20" i="26" s="1"/>
  <c r="Q21" i="26" s="1"/>
  <c r="Q22" i="26" s="1"/>
  <c r="Q23" i="26" s="1"/>
  <c r="Q24" i="26" s="1"/>
  <c r="Q25" i="26" s="1"/>
  <c r="Q26" i="26" s="1"/>
  <c r="Q27" i="26" s="1"/>
  <c r="J10" i="17" s="1"/>
  <c r="C70" i="36"/>
  <c r="C71" i="36" s="1"/>
  <c r="C72" i="36" s="1"/>
  <c r="C73" i="36" s="1"/>
  <c r="C74" i="36" s="1"/>
  <c r="C75" i="36" s="1"/>
  <c r="C76" i="36" s="1"/>
  <c r="C77" i="36" s="1"/>
  <c r="C78" i="36" s="1"/>
  <c r="E76" i="43"/>
  <c r="E73" i="43"/>
  <c r="E77" i="43"/>
  <c r="E78" i="43"/>
  <c r="E71" i="43"/>
  <c r="E69" i="43"/>
  <c r="F69" i="43" s="1"/>
  <c r="E72" i="43"/>
  <c r="E74" i="43"/>
  <c r="E75" i="43"/>
  <c r="E70" i="43"/>
  <c r="L18" i="36"/>
  <c r="L19" i="36" s="1"/>
  <c r="L20" i="36" s="1"/>
  <c r="L21" i="36" s="1"/>
  <c r="L22" i="36" s="1"/>
  <c r="L23" i="36" s="1"/>
  <c r="L24" i="36" s="1"/>
  <c r="L25" i="36" s="1"/>
  <c r="L26" i="36" s="1"/>
  <c r="Q71" i="26"/>
  <c r="Q72" i="26" s="1"/>
  <c r="Q73" i="26" s="1"/>
  <c r="Q74" i="26" s="1"/>
  <c r="Q75" i="26" s="1"/>
  <c r="Q76" i="26" s="1"/>
  <c r="Q77" i="26" s="1"/>
  <c r="Q78" i="26" s="1"/>
  <c r="Q79" i="26" s="1"/>
  <c r="J14" i="17" s="1"/>
  <c r="S47" i="41"/>
  <c r="S48" i="41" s="1"/>
  <c r="S49" i="41" s="1"/>
  <c r="S50" i="41" s="1"/>
  <c r="S51" i="41" s="1"/>
  <c r="S52" i="41" s="1"/>
  <c r="S53" i="41" s="1"/>
  <c r="S54" i="41" s="1"/>
  <c r="C8" i="45" s="1"/>
  <c r="P74" i="36"/>
  <c r="P75" i="36" s="1"/>
  <c r="P76" i="36" s="1"/>
  <c r="P77" i="36" s="1"/>
  <c r="P78" i="36" s="1"/>
  <c r="G18" i="36"/>
  <c r="G19" i="36" s="1"/>
  <c r="G20" i="36" s="1"/>
  <c r="G21" i="36" s="1"/>
  <c r="G22" i="36" s="1"/>
  <c r="G23" i="36" s="1"/>
  <c r="G24" i="36" s="1"/>
  <c r="G25" i="36" s="1"/>
  <c r="G26" i="36" s="1"/>
  <c r="K49" i="43"/>
  <c r="K43" i="43"/>
  <c r="L43" i="43" s="1"/>
  <c r="K51" i="43"/>
  <c r="K52" i="43"/>
  <c r="K46" i="43"/>
  <c r="K44" i="43"/>
  <c r="K47" i="43"/>
  <c r="K48" i="43"/>
  <c r="K45" i="43"/>
  <c r="K50" i="43"/>
  <c r="P20" i="36"/>
  <c r="P21" i="36" s="1"/>
  <c r="P22" i="36" s="1"/>
  <c r="P23" i="36" s="1"/>
  <c r="P24" i="36" s="1"/>
  <c r="P25" i="36" s="1"/>
  <c r="P26" i="36" s="1"/>
  <c r="K35" i="43"/>
  <c r="K30" i="43"/>
  <c r="L30" i="43" s="1"/>
  <c r="K32" i="43"/>
  <c r="K31" i="43"/>
  <c r="K37" i="43"/>
  <c r="K38" i="43"/>
  <c r="K33" i="43"/>
  <c r="K39" i="43"/>
  <c r="K34" i="43"/>
  <c r="K36" i="43"/>
  <c r="E18" i="43"/>
  <c r="E17" i="43"/>
  <c r="F17" i="43" s="1"/>
  <c r="E21" i="43"/>
  <c r="E19" i="43"/>
  <c r="E22" i="43"/>
  <c r="E24" i="43"/>
  <c r="E23" i="43"/>
  <c r="E26" i="43"/>
  <c r="E25" i="43"/>
  <c r="E20" i="43"/>
  <c r="U20" i="41"/>
  <c r="U21" i="41" s="1"/>
  <c r="U22" i="41" s="1"/>
  <c r="U23" i="41" s="1"/>
  <c r="U24" i="41" s="1"/>
  <c r="U25" i="41" s="1"/>
  <c r="U26" i="41" s="1"/>
  <c r="U27" i="41" s="1"/>
  <c r="U28" i="41" s="1"/>
  <c r="D6" i="45" s="1"/>
  <c r="Y72" i="41"/>
  <c r="Y73" i="41" s="1"/>
  <c r="Y74" i="41" s="1"/>
  <c r="Y75" i="41" s="1"/>
  <c r="Y76" i="41" s="1"/>
  <c r="Y77" i="41" s="1"/>
  <c r="Y78" i="41" s="1"/>
  <c r="Y79" i="41" s="1"/>
  <c r="Y80" i="41" s="1"/>
  <c r="G10" i="45" s="1"/>
  <c r="W46" i="41"/>
  <c r="W47" i="41" s="1"/>
  <c r="W48" i="41" s="1"/>
  <c r="W49" i="41" s="1"/>
  <c r="W50" i="41" s="1"/>
  <c r="W51" i="41" s="1"/>
  <c r="W52" i="41" s="1"/>
  <c r="W53" i="41" s="1"/>
  <c r="W54" i="41" s="1"/>
  <c r="F8" i="45" s="1"/>
  <c r="S72" i="41"/>
  <c r="S73" i="41" s="1"/>
  <c r="S74" i="41" s="1"/>
  <c r="S75" i="41" s="1"/>
  <c r="S76" i="41" s="1"/>
  <c r="S77" i="41" s="1"/>
  <c r="S78" i="41" s="1"/>
  <c r="S79" i="41" s="1"/>
  <c r="S80" i="41" s="1"/>
  <c r="C10" i="45" s="1"/>
  <c r="Y46" i="41"/>
  <c r="Y47" i="41" s="1"/>
  <c r="Y48" i="41" s="1"/>
  <c r="Y49" i="41" s="1"/>
  <c r="Y50" i="41" s="1"/>
  <c r="Y51" i="41" s="1"/>
  <c r="Y52" i="41" s="1"/>
  <c r="Y53" i="41" s="1"/>
  <c r="Y54" i="41" s="1"/>
  <c r="G8" i="45" s="1"/>
  <c r="R70" i="36"/>
  <c r="R71" i="36" s="1"/>
  <c r="R72" i="36" s="1"/>
  <c r="R73" i="36" s="1"/>
  <c r="R74" i="36" s="1"/>
  <c r="R75" i="36" s="1"/>
  <c r="R76" i="36" s="1"/>
  <c r="R77" i="36" s="1"/>
  <c r="R78" i="36" s="1"/>
  <c r="S33" i="41"/>
  <c r="S34" i="41" s="1"/>
  <c r="S35" i="41" s="1"/>
  <c r="S36" i="41" s="1"/>
  <c r="S37" i="41" s="1"/>
  <c r="S38" i="41" s="1"/>
  <c r="S39" i="41" s="1"/>
  <c r="S40" i="41" s="1"/>
  <c r="S41" i="41" s="1"/>
  <c r="C7" i="45" s="1"/>
  <c r="E34" i="43"/>
  <c r="E30" i="43"/>
  <c r="F30" i="43" s="1"/>
  <c r="E35" i="43"/>
  <c r="E39" i="43"/>
  <c r="E36" i="43"/>
  <c r="E33" i="43"/>
  <c r="E32" i="43"/>
  <c r="E37" i="43"/>
  <c r="E38" i="43"/>
  <c r="E31" i="43"/>
  <c r="F31" i="43" s="1"/>
  <c r="G76" i="43"/>
  <c r="G72" i="43"/>
  <c r="G75" i="43"/>
  <c r="G77" i="43"/>
  <c r="G74" i="43"/>
  <c r="G73" i="43"/>
  <c r="G69" i="43"/>
  <c r="H69" i="43" s="1"/>
  <c r="G78" i="43"/>
  <c r="G71" i="43"/>
  <c r="G70" i="43"/>
  <c r="E71" i="36"/>
  <c r="E72" i="36" s="1"/>
  <c r="E73" i="36" s="1"/>
  <c r="E74" i="36" s="1"/>
  <c r="E75" i="36" s="1"/>
  <c r="E76" i="36" s="1"/>
  <c r="E77" i="36" s="1"/>
  <c r="E78" i="36" s="1"/>
  <c r="E47" i="43"/>
  <c r="E52" i="43"/>
  <c r="E48" i="43"/>
  <c r="E43" i="43"/>
  <c r="F43" i="43" s="1"/>
  <c r="E49" i="43"/>
  <c r="E44" i="43"/>
  <c r="E50" i="43"/>
  <c r="E45" i="43"/>
  <c r="E51" i="43"/>
  <c r="E46" i="43"/>
  <c r="G70" i="36"/>
  <c r="G71" i="36" s="1"/>
  <c r="G72" i="36" s="1"/>
  <c r="G73" i="36" s="1"/>
  <c r="G74" i="36" s="1"/>
  <c r="G75" i="36" s="1"/>
  <c r="G76" i="36" s="1"/>
  <c r="G77" i="36" s="1"/>
  <c r="G78" i="36" s="1"/>
  <c r="O71" i="26"/>
  <c r="O72" i="26" s="1"/>
  <c r="O73" i="26" s="1"/>
  <c r="O74" i="26" s="1"/>
  <c r="O75" i="26" s="1"/>
  <c r="O76" i="26" s="1"/>
  <c r="O77" i="26" s="1"/>
  <c r="O78" i="26" s="1"/>
  <c r="O79" i="26" s="1"/>
  <c r="I14" i="17" s="1"/>
  <c r="J8" i="22" s="1"/>
  <c r="B14" i="29"/>
  <c r="E22" i="17"/>
  <c r="U49" i="26"/>
  <c r="U50" i="26" s="1"/>
  <c r="U51" i="26" s="1"/>
  <c r="U52" i="26" s="1"/>
  <c r="U53" i="26" s="1"/>
  <c r="J20" i="17" s="1"/>
  <c r="K20" i="17" s="1"/>
  <c r="U36" i="26"/>
  <c r="U37" i="26" s="1"/>
  <c r="U38" i="26" s="1"/>
  <c r="U39" i="26" s="1"/>
  <c r="U40" i="26" s="1"/>
  <c r="J19" i="17" s="1"/>
  <c r="K19" i="17" s="1"/>
  <c r="K12" i="17"/>
  <c r="A69" i="20"/>
  <c r="D14" i="27"/>
  <c r="A68" i="26"/>
  <c r="D13" i="20"/>
  <c r="H9" i="13"/>
  <c r="C9" i="13"/>
  <c r="K11" i="17" l="1"/>
  <c r="N71" i="43"/>
  <c r="F32" i="43"/>
  <c r="F33" i="43" s="1"/>
  <c r="F34" i="43" s="1"/>
  <c r="F35" i="43" s="1"/>
  <c r="F36" i="43" s="1"/>
  <c r="F37" i="43" s="1"/>
  <c r="F38" i="43" s="1"/>
  <c r="F39" i="43" s="1"/>
  <c r="H70" i="43"/>
  <c r="H71" i="43" s="1"/>
  <c r="H72" i="43" s="1"/>
  <c r="H73" i="43" s="1"/>
  <c r="H74" i="43" s="1"/>
  <c r="H75" i="43" s="1"/>
  <c r="H76" i="43" s="1"/>
  <c r="H77" i="43" s="1"/>
  <c r="H78" i="43" s="1"/>
  <c r="H31" i="43"/>
  <c r="H32" i="43" s="1"/>
  <c r="H33" i="43" s="1"/>
  <c r="H34" i="43" s="1"/>
  <c r="H35" i="43" s="1"/>
  <c r="H36" i="43" s="1"/>
  <c r="H37" i="43" s="1"/>
  <c r="H38" i="43" s="1"/>
  <c r="H39" i="43" s="1"/>
  <c r="L31" i="43"/>
  <c r="L32" i="43" s="1"/>
  <c r="L33" i="43" s="1"/>
  <c r="L34" i="43" s="1"/>
  <c r="L35" i="43" s="1"/>
  <c r="L36" i="43" s="1"/>
  <c r="L37" i="43" s="1"/>
  <c r="L38" i="43" s="1"/>
  <c r="L39" i="43" s="1"/>
  <c r="K10" i="17"/>
  <c r="D11" i="42"/>
  <c r="D11" i="44"/>
  <c r="N72" i="43"/>
  <c r="N73" i="43" s="1"/>
  <c r="N74" i="43" s="1"/>
  <c r="N75" i="43" s="1"/>
  <c r="N76" i="43" s="1"/>
  <c r="N77" i="43" s="1"/>
  <c r="N78" i="43" s="1"/>
  <c r="H4" i="44"/>
  <c r="H4" i="42"/>
  <c r="F44" i="43"/>
  <c r="F45" i="43" s="1"/>
  <c r="F46" i="43" s="1"/>
  <c r="F47" i="43" s="1"/>
  <c r="F48" i="43" s="1"/>
  <c r="F49" i="43" s="1"/>
  <c r="F50" i="43" s="1"/>
  <c r="F51" i="43" s="1"/>
  <c r="F52" i="43" s="1"/>
  <c r="F18" i="43"/>
  <c r="F19" i="43" s="1"/>
  <c r="F20" i="43" s="1"/>
  <c r="F21" i="43" s="1"/>
  <c r="F22" i="43" s="1"/>
  <c r="F23" i="43" s="1"/>
  <c r="F24" i="43" s="1"/>
  <c r="F25" i="43" s="1"/>
  <c r="F26" i="43" s="1"/>
  <c r="K14" i="17"/>
  <c r="F70" i="43"/>
  <c r="F71" i="43" s="1"/>
  <c r="F72" i="43" s="1"/>
  <c r="F73" i="43" s="1"/>
  <c r="F74" i="43" s="1"/>
  <c r="F75" i="43" s="1"/>
  <c r="F76" i="43" s="1"/>
  <c r="F77" i="43" s="1"/>
  <c r="F78" i="43" s="1"/>
  <c r="N31" i="43"/>
  <c r="N32" i="43" s="1"/>
  <c r="N33" i="43" s="1"/>
  <c r="N34" i="43" s="1"/>
  <c r="N35" i="43" s="1"/>
  <c r="N36" i="43" s="1"/>
  <c r="N37" i="43" s="1"/>
  <c r="N38" i="43" s="1"/>
  <c r="N39" i="43" s="1"/>
  <c r="L70" i="43"/>
  <c r="L71" i="43" s="1"/>
  <c r="L72" i="43" s="1"/>
  <c r="L73" i="43" s="1"/>
  <c r="L74" i="43" s="1"/>
  <c r="L75" i="43" s="1"/>
  <c r="L76" i="43" s="1"/>
  <c r="L77" i="43" s="1"/>
  <c r="L78" i="43" s="1"/>
  <c r="N44" i="43"/>
  <c r="N45" i="43" s="1"/>
  <c r="N46" i="43" s="1"/>
  <c r="N47" i="43" s="1"/>
  <c r="N48" i="43" s="1"/>
  <c r="N49" i="43" s="1"/>
  <c r="N50" i="43" s="1"/>
  <c r="N51" i="43" s="1"/>
  <c r="N52" i="43" s="1"/>
  <c r="H18" i="43"/>
  <c r="H19" i="43" s="1"/>
  <c r="H20" i="43" s="1"/>
  <c r="H21" i="43" s="1"/>
  <c r="H22" i="43" s="1"/>
  <c r="H23" i="43" s="1"/>
  <c r="H24" i="43" s="1"/>
  <c r="H25" i="43" s="1"/>
  <c r="H26" i="43" s="1"/>
  <c r="L18" i="43"/>
  <c r="L19" i="43" s="1"/>
  <c r="L20" i="43" s="1"/>
  <c r="L21" i="43" s="1"/>
  <c r="L22" i="43" s="1"/>
  <c r="L23" i="43" s="1"/>
  <c r="L24" i="43" s="1"/>
  <c r="L25" i="43" s="1"/>
  <c r="L26" i="43" s="1"/>
  <c r="D14" i="42"/>
  <c r="D14" i="44"/>
  <c r="L44" i="43"/>
  <c r="L45" i="43" s="1"/>
  <c r="L46" i="43" s="1"/>
  <c r="L47" i="43" s="1"/>
  <c r="L48" i="43" s="1"/>
  <c r="L49" i="43" s="1"/>
  <c r="L50" i="43" s="1"/>
  <c r="L51" i="43" s="1"/>
  <c r="L52" i="43" s="1"/>
  <c r="N18" i="43"/>
  <c r="N19" i="43" s="1"/>
  <c r="N20" i="43" s="1"/>
  <c r="N21" i="43" s="1"/>
  <c r="N22" i="43" s="1"/>
  <c r="N23" i="43" s="1"/>
  <c r="N24" i="43" s="1"/>
  <c r="N25" i="43" s="1"/>
  <c r="N26" i="43" s="1"/>
  <c r="H44" i="43"/>
  <c r="H45" i="43" s="1"/>
  <c r="H46" i="43" s="1"/>
  <c r="H47" i="43" s="1"/>
  <c r="H48" i="43" s="1"/>
  <c r="H49" i="43" s="1"/>
  <c r="H50" i="43" s="1"/>
  <c r="H51" i="43" s="1"/>
  <c r="H52" i="43" s="1"/>
  <c r="F11" i="15"/>
  <c r="G4" i="29"/>
  <c r="J4" i="15"/>
  <c r="I4" i="27"/>
  <c r="K14" i="4"/>
  <c r="B12" i="41" s="1"/>
  <c r="B7" i="16"/>
  <c r="B8" i="16"/>
  <c r="B9" i="16"/>
  <c r="B10" i="16"/>
  <c r="B11" i="16"/>
  <c r="G10" i="42" l="1"/>
  <c r="G10" i="44"/>
  <c r="B51" i="41"/>
  <c r="B47" i="41"/>
  <c r="B50" i="41"/>
  <c r="B46" i="41"/>
  <c r="B54" i="41"/>
  <c r="B53" i="41"/>
  <c r="B49" i="41"/>
  <c r="B45" i="41"/>
  <c r="C45" i="41" s="1"/>
  <c r="C46" i="41" s="1"/>
  <c r="C47" i="41" s="1"/>
  <c r="C48" i="41" s="1"/>
  <c r="C49" i="41" s="1"/>
  <c r="C50" i="41" s="1"/>
  <c r="C51" i="41" s="1"/>
  <c r="C52" i="41" s="1"/>
  <c r="C53" i="41" s="1"/>
  <c r="C54" i="41" s="1"/>
  <c r="B48" i="41"/>
  <c r="B52" i="41"/>
  <c r="F11" i="42"/>
  <c r="F11" i="44"/>
  <c r="F10" i="42"/>
  <c r="F10" i="44"/>
  <c r="G11" i="42"/>
  <c r="H11" i="42" s="1"/>
  <c r="G11" i="44"/>
  <c r="C12" i="42"/>
  <c r="C12" i="44"/>
  <c r="G14" i="42"/>
  <c r="G14" i="44"/>
  <c r="D12" i="42"/>
  <c r="E12" i="42" s="1"/>
  <c r="D12" i="44"/>
  <c r="D10" i="42"/>
  <c r="D10" i="44"/>
  <c r="C14" i="42"/>
  <c r="E14" i="42" s="1"/>
  <c r="C14" i="44"/>
  <c r="E14" i="44" s="1"/>
  <c r="C11" i="42"/>
  <c r="E11" i="42" s="1"/>
  <c r="C11" i="44"/>
  <c r="E11" i="44" s="1"/>
  <c r="G12" i="42"/>
  <c r="G12" i="44"/>
  <c r="F12" i="42"/>
  <c r="F12" i="44"/>
  <c r="F14" i="42"/>
  <c r="F14" i="44"/>
  <c r="C10" i="42"/>
  <c r="C10" i="44"/>
  <c r="I13" i="15"/>
  <c r="H9" i="35"/>
  <c r="V10" i="36" s="1"/>
  <c r="W10" i="36" s="1"/>
  <c r="B11" i="20"/>
  <c r="B11" i="26"/>
  <c r="C12" i="16"/>
  <c r="E12" i="44" l="1"/>
  <c r="H10" i="44"/>
  <c r="H12" i="44"/>
  <c r="E10" i="42"/>
  <c r="H12" i="42"/>
  <c r="H11" i="44"/>
  <c r="H14" i="44"/>
  <c r="E10" i="44"/>
  <c r="H14" i="42"/>
  <c r="H10" i="42"/>
  <c r="N17" i="35"/>
  <c r="N16" i="35"/>
  <c r="O16" i="35" s="1"/>
  <c r="N19" i="35"/>
  <c r="N24" i="35"/>
  <c r="N18" i="35"/>
  <c r="N22" i="35"/>
  <c r="N20" i="35"/>
  <c r="N25" i="35"/>
  <c r="N21" i="35"/>
  <c r="N23" i="35"/>
  <c r="B47" i="26"/>
  <c r="B45" i="26"/>
  <c r="B49" i="26"/>
  <c r="B53" i="26"/>
  <c r="B50" i="26"/>
  <c r="B48" i="26"/>
  <c r="B46" i="26"/>
  <c r="B44" i="26"/>
  <c r="C44" i="26" s="1"/>
  <c r="B52" i="26"/>
  <c r="B51" i="26"/>
  <c r="D8" i="22"/>
  <c r="C8" i="22"/>
  <c r="E3" i="20"/>
  <c r="O17" i="35" l="1"/>
  <c r="O18" i="35" s="1"/>
  <c r="O19" i="35" s="1"/>
  <c r="O20" i="35" s="1"/>
  <c r="O21" i="35" s="1"/>
  <c r="O22" i="35" s="1"/>
  <c r="O23" i="35" s="1"/>
  <c r="O24" i="35" s="1"/>
  <c r="O25" i="35" s="1"/>
  <c r="N19" i="20"/>
  <c r="L22" i="20"/>
  <c r="L19" i="20"/>
  <c r="L23" i="20"/>
  <c r="L21" i="20"/>
  <c r="L27" i="20"/>
  <c r="L20" i="20"/>
  <c r="L18" i="20"/>
  <c r="L25" i="20"/>
  <c r="L24" i="20"/>
  <c r="L26" i="20"/>
  <c r="C45" i="26"/>
  <c r="C46" i="26" s="1"/>
  <c r="C47" i="26" s="1"/>
  <c r="C48" i="26" s="1"/>
  <c r="C49" i="26" s="1"/>
  <c r="C50" i="26" s="1"/>
  <c r="C51" i="26" s="1"/>
  <c r="C52" i="26" s="1"/>
  <c r="C53" i="26" s="1"/>
  <c r="N18" i="20"/>
  <c r="O18" i="20" s="1"/>
  <c r="C4" i="22"/>
  <c r="P18" i="20"/>
  <c r="Q18" i="20" s="1"/>
  <c r="T79" i="20"/>
  <c r="N21" i="20"/>
  <c r="P76" i="20"/>
  <c r="N25" i="20"/>
  <c r="P80" i="20"/>
  <c r="R78" i="20"/>
  <c r="N22" i="20"/>
  <c r="P26" i="20"/>
  <c r="T24" i="20"/>
  <c r="N75" i="20"/>
  <c r="R71" i="20"/>
  <c r="S71" i="20" s="1"/>
  <c r="T77" i="20"/>
  <c r="P23" i="20"/>
  <c r="R26" i="20"/>
  <c r="P74" i="20"/>
  <c r="R80" i="20"/>
  <c r="N24" i="20"/>
  <c r="R20" i="20"/>
  <c r="R24" i="20"/>
  <c r="P25" i="20"/>
  <c r="T23" i="20"/>
  <c r="T72" i="20"/>
  <c r="N26" i="20"/>
  <c r="R21" i="20"/>
  <c r="N79" i="20"/>
  <c r="R75" i="20"/>
  <c r="T27" i="20"/>
  <c r="N23" i="20"/>
  <c r="P27" i="20"/>
  <c r="T21" i="20"/>
  <c r="N72" i="20"/>
  <c r="P78" i="20"/>
  <c r="T74" i="20"/>
  <c r="R19" i="20"/>
  <c r="P75" i="20"/>
  <c r="T80" i="20"/>
  <c r="R73" i="20"/>
  <c r="N77" i="20"/>
  <c r="T26" i="20"/>
  <c r="R27" i="20"/>
  <c r="R74" i="20"/>
  <c r="N74" i="20"/>
  <c r="P72" i="20"/>
  <c r="P22" i="20"/>
  <c r="T20" i="20"/>
  <c r="P77" i="20"/>
  <c r="T73" i="20"/>
  <c r="P19" i="20"/>
  <c r="R76" i="20"/>
  <c r="N20" i="20"/>
  <c r="T71" i="20"/>
  <c r="U71" i="20" s="1"/>
  <c r="R77" i="20"/>
  <c r="P24" i="20"/>
  <c r="P21" i="20"/>
  <c r="T76" i="20"/>
  <c r="R25" i="20"/>
  <c r="P73" i="20"/>
  <c r="R79" i="20"/>
  <c r="N27" i="20"/>
  <c r="R18" i="20"/>
  <c r="S18" i="20" s="1"/>
  <c r="T25" i="20"/>
  <c r="N76" i="20"/>
  <c r="R72" i="20"/>
  <c r="T78" i="20"/>
  <c r="R23" i="20"/>
  <c r="N78" i="20"/>
  <c r="P79" i="20"/>
  <c r="N71" i="20"/>
  <c r="O71" i="20" s="1"/>
  <c r="R22" i="20"/>
  <c r="N80" i="20"/>
  <c r="T19" i="20"/>
  <c r="T18" i="20"/>
  <c r="U18" i="20" s="1"/>
  <c r="N73" i="20"/>
  <c r="P71" i="20"/>
  <c r="Q71" i="20" s="1"/>
  <c r="T75" i="20"/>
  <c r="P20" i="20"/>
  <c r="T22" i="20"/>
  <c r="B77" i="20"/>
  <c r="B79" i="20"/>
  <c r="B74" i="20"/>
  <c r="B76" i="20"/>
  <c r="B78" i="20"/>
  <c r="B80" i="20"/>
  <c r="B73" i="20"/>
  <c r="B75" i="20"/>
  <c r="B72" i="20"/>
  <c r="B71" i="20"/>
  <c r="B33" i="20"/>
  <c r="B35" i="20"/>
  <c r="B38" i="20"/>
  <c r="B49" i="20"/>
  <c r="B48" i="20"/>
  <c r="D79" i="20"/>
  <c r="D78" i="20"/>
  <c r="D77" i="20"/>
  <c r="B37" i="20"/>
  <c r="B39" i="20"/>
  <c r="B31" i="20"/>
  <c r="B34" i="20"/>
  <c r="B36" i="20"/>
  <c r="B53" i="20"/>
  <c r="B45" i="20"/>
  <c r="B47" i="20"/>
  <c r="B52" i="20"/>
  <c r="B50" i="20"/>
  <c r="D80" i="20"/>
  <c r="D72" i="20"/>
  <c r="D74" i="20"/>
  <c r="D73" i="20"/>
  <c r="D75" i="20"/>
  <c r="B40" i="20"/>
  <c r="B32" i="20"/>
  <c r="B44" i="20"/>
  <c r="K13" i="15" s="1"/>
  <c r="B51" i="20"/>
  <c r="B46" i="20"/>
  <c r="D76" i="20"/>
  <c r="D71" i="20"/>
  <c r="S19" i="20" l="1"/>
  <c r="S20" i="20" s="1"/>
  <c r="S21" i="20" s="1"/>
  <c r="S22" i="20" s="1"/>
  <c r="S23" i="20" s="1"/>
  <c r="S24" i="20" s="1"/>
  <c r="S25" i="20" s="1"/>
  <c r="S26" i="20" s="1"/>
  <c r="S27" i="20" s="1"/>
  <c r="F18" i="17" s="1"/>
  <c r="K4" i="22" s="1"/>
  <c r="Q19" i="20"/>
  <c r="Q20" i="20" s="1"/>
  <c r="Q21" i="20" s="1"/>
  <c r="Q22" i="20" s="1"/>
  <c r="O72" i="20"/>
  <c r="O73" i="20" s="1"/>
  <c r="O74" i="20" s="1"/>
  <c r="O75" i="20" s="1"/>
  <c r="Q72" i="20"/>
  <c r="Q73" i="20" s="1"/>
  <c r="Q74" i="20" s="1"/>
  <c r="Q75" i="20" s="1"/>
  <c r="U72" i="20"/>
  <c r="U73" i="20" s="1"/>
  <c r="U74" i="20" s="1"/>
  <c r="U75" i="20" s="1"/>
  <c r="O19" i="20"/>
  <c r="O20" i="20" s="1"/>
  <c r="O21" i="20" s="1"/>
  <c r="O22" i="20" s="1"/>
  <c r="S72" i="20"/>
  <c r="S73" i="20" s="1"/>
  <c r="S74" i="20" s="1"/>
  <c r="S75" i="20" s="1"/>
  <c r="S76" i="20" s="1"/>
  <c r="S77" i="20" s="1"/>
  <c r="S78" i="20" s="1"/>
  <c r="S79" i="20" s="1"/>
  <c r="S80" i="20" s="1"/>
  <c r="F22" i="17" s="1"/>
  <c r="K8" i="22" s="1"/>
  <c r="U19" i="20"/>
  <c r="U20" i="20" s="1"/>
  <c r="U21" i="20" s="1"/>
  <c r="U22" i="20" s="1"/>
  <c r="E71" i="20"/>
  <c r="E72" i="20" s="1"/>
  <c r="E73" i="20" s="1"/>
  <c r="E74" i="20" s="1"/>
  <c r="E75" i="20" s="1"/>
  <c r="E76" i="20" s="1"/>
  <c r="E77" i="20" s="1"/>
  <c r="E78" i="20" s="1"/>
  <c r="E79" i="20" s="1"/>
  <c r="E80" i="20" s="1"/>
  <c r="P15" i="15" s="1"/>
  <c r="H10" i="45" s="1"/>
  <c r="L15" i="15"/>
  <c r="K12" i="15"/>
  <c r="C31" i="20"/>
  <c r="C32" i="20" s="1"/>
  <c r="C33" i="20" s="1"/>
  <c r="C34" i="20" s="1"/>
  <c r="C35" i="20" s="1"/>
  <c r="C36" i="20" s="1"/>
  <c r="C37" i="20" s="1"/>
  <c r="C38" i="20" s="1"/>
  <c r="C39" i="20" s="1"/>
  <c r="C40" i="20" s="1"/>
  <c r="O12" i="15" s="1"/>
  <c r="E7" i="45" s="1"/>
  <c r="K15" i="15"/>
  <c r="C71" i="20"/>
  <c r="C72" i="20" s="1"/>
  <c r="C73" i="20" s="1"/>
  <c r="C74" i="20" s="1"/>
  <c r="C75" i="20" s="1"/>
  <c r="C76" i="20" s="1"/>
  <c r="C77" i="20" s="1"/>
  <c r="C78" i="20" s="1"/>
  <c r="C79" i="20" s="1"/>
  <c r="C80" i="20" s="1"/>
  <c r="O15" i="15" s="1"/>
  <c r="E10" i="45" s="1"/>
  <c r="C44" i="20"/>
  <c r="C45" i="20" s="1"/>
  <c r="C46" i="20" s="1"/>
  <c r="C47" i="20" s="1"/>
  <c r="C48" i="20" s="1"/>
  <c r="C49" i="20" s="1"/>
  <c r="C50" i="20" s="1"/>
  <c r="C51" i="20" s="1"/>
  <c r="C52" i="20" s="1"/>
  <c r="C53" i="20" s="1"/>
  <c r="O13" i="15" s="1"/>
  <c r="E8" i="45" s="1"/>
  <c r="H4" i="17"/>
  <c r="I4" i="17"/>
  <c r="J11" i="44" l="1"/>
  <c r="I11" i="44"/>
  <c r="J11" i="42"/>
  <c r="I11" i="42"/>
  <c r="J12" i="44"/>
  <c r="I12" i="44"/>
  <c r="J12" i="42"/>
  <c r="I12" i="42"/>
  <c r="I14" i="44"/>
  <c r="J14" i="44"/>
  <c r="J14" i="42"/>
  <c r="I14" i="42"/>
  <c r="H8" i="22"/>
  <c r="H5" i="22"/>
  <c r="H6" i="22"/>
  <c r="Q15" i="15"/>
  <c r="M15" i="15"/>
  <c r="J77" i="26"/>
  <c r="J72" i="26"/>
  <c r="J79" i="26"/>
  <c r="J76" i="26"/>
  <c r="J78" i="26"/>
  <c r="J75" i="26"/>
  <c r="J73" i="26"/>
  <c r="J70" i="26"/>
  <c r="K70" i="26" s="1"/>
  <c r="J74" i="26"/>
  <c r="J71" i="26"/>
  <c r="J25" i="26"/>
  <c r="J21" i="26"/>
  <c r="J27" i="26"/>
  <c r="J23" i="26"/>
  <c r="J19" i="26"/>
  <c r="J26" i="26"/>
  <c r="J22" i="26"/>
  <c r="J20" i="26"/>
  <c r="J24" i="26"/>
  <c r="J18" i="26"/>
  <c r="K18" i="26" s="1"/>
  <c r="U23" i="20"/>
  <c r="U24" i="20" s="1"/>
  <c r="U25" i="20" s="1"/>
  <c r="U26" i="20" s="1"/>
  <c r="U27" i="20" s="1"/>
  <c r="G18" i="17" s="1"/>
  <c r="H18" i="17" s="1"/>
  <c r="Q76" i="20"/>
  <c r="Q77" i="20" s="1"/>
  <c r="Q78" i="20" s="1"/>
  <c r="Q79" i="20" s="1"/>
  <c r="Q80" i="20" s="1"/>
  <c r="G14" i="17" s="1"/>
  <c r="Q23" i="20"/>
  <c r="Q24" i="20" s="1"/>
  <c r="Q25" i="20" s="1"/>
  <c r="Q26" i="20" s="1"/>
  <c r="Q27" i="20" s="1"/>
  <c r="G10" i="17" s="1"/>
  <c r="O23" i="20"/>
  <c r="O24" i="20" s="1"/>
  <c r="O25" i="20" s="1"/>
  <c r="U76" i="20"/>
  <c r="U77" i="20" s="1"/>
  <c r="U78" i="20" s="1"/>
  <c r="U79" i="20" s="1"/>
  <c r="U80" i="20" s="1"/>
  <c r="G22" i="17" s="1"/>
  <c r="O76" i="20"/>
  <c r="O77" i="20" s="1"/>
  <c r="O78" i="20" s="1"/>
  <c r="O79" i="20" s="1"/>
  <c r="O80" i="20" s="1"/>
  <c r="F14" i="17" s="1"/>
  <c r="I8" i="22" s="1"/>
  <c r="E14" i="17"/>
  <c r="E13" i="17"/>
  <c r="E12" i="17"/>
  <c r="E11" i="17"/>
  <c r="K9" i="13"/>
  <c r="L14" i="27" l="1"/>
  <c r="H14" i="27"/>
  <c r="L9" i="13"/>
  <c r="B10" i="41" s="1"/>
  <c r="B19" i="41" s="1"/>
  <c r="C19" i="41" s="1"/>
  <c r="C9" i="20"/>
  <c r="E10" i="41"/>
  <c r="C10" i="41"/>
  <c r="M9" i="13"/>
  <c r="D10" i="41" s="1"/>
  <c r="D19" i="41" s="1"/>
  <c r="E19" i="41" s="1"/>
  <c r="H12" i="43"/>
  <c r="A14" i="41"/>
  <c r="H9" i="43"/>
  <c r="A11" i="41"/>
  <c r="A12" i="41"/>
  <c r="H10" i="43"/>
  <c r="A13" i="41"/>
  <c r="H11" i="43"/>
  <c r="K14" i="44"/>
  <c r="L14" i="44"/>
  <c r="L14" i="42"/>
  <c r="K14" i="42"/>
  <c r="J14" i="29"/>
  <c r="K7" i="35"/>
  <c r="C9" i="26"/>
  <c r="I7" i="35"/>
  <c r="G9" i="35"/>
  <c r="H10" i="36"/>
  <c r="G10" i="35"/>
  <c r="H11" i="36"/>
  <c r="H9" i="36"/>
  <c r="G8" i="35"/>
  <c r="G11" i="35"/>
  <c r="H12" i="36"/>
  <c r="E9" i="26"/>
  <c r="F14" i="29"/>
  <c r="H22" i="17"/>
  <c r="K14" i="27" s="1"/>
  <c r="H14" i="17"/>
  <c r="G14" i="27" s="1"/>
  <c r="K19" i="26"/>
  <c r="K20" i="26" s="1"/>
  <c r="K21" i="26" s="1"/>
  <c r="K22" i="26" s="1"/>
  <c r="K23" i="26" s="1"/>
  <c r="K24" i="26" s="1"/>
  <c r="K25" i="26" s="1"/>
  <c r="K26" i="26" s="1"/>
  <c r="K27" i="26" s="1"/>
  <c r="K71" i="26"/>
  <c r="K72" i="26" s="1"/>
  <c r="A12" i="20"/>
  <c r="A12" i="26"/>
  <c r="A11" i="20"/>
  <c r="A11" i="26"/>
  <c r="L78" i="26"/>
  <c r="L74" i="26"/>
  <c r="L70" i="26"/>
  <c r="M70" i="26" s="1"/>
  <c r="L73" i="26"/>
  <c r="L76" i="26"/>
  <c r="L72" i="26"/>
  <c r="L77" i="26"/>
  <c r="L79" i="26"/>
  <c r="L75" i="26"/>
  <c r="L71" i="26"/>
  <c r="H78" i="26"/>
  <c r="H74" i="26"/>
  <c r="H70" i="26"/>
  <c r="I70" i="26" s="1"/>
  <c r="H77" i="26"/>
  <c r="H76" i="26"/>
  <c r="H72" i="26"/>
  <c r="H73" i="26"/>
  <c r="H79" i="26"/>
  <c r="H75" i="26"/>
  <c r="H71" i="26"/>
  <c r="A10" i="20"/>
  <c r="A10" i="26"/>
  <c r="A13" i="20"/>
  <c r="A13" i="26"/>
  <c r="F75" i="26"/>
  <c r="F72" i="26"/>
  <c r="F78" i="26"/>
  <c r="F77" i="26"/>
  <c r="F79" i="26"/>
  <c r="F73" i="26"/>
  <c r="F74" i="26"/>
  <c r="F76" i="26"/>
  <c r="F70" i="26"/>
  <c r="G70" i="26" s="1"/>
  <c r="F71" i="26"/>
  <c r="H27" i="26"/>
  <c r="H23" i="26"/>
  <c r="H19" i="26"/>
  <c r="H25" i="26"/>
  <c r="H21" i="26"/>
  <c r="H22" i="26"/>
  <c r="H24" i="26"/>
  <c r="H20" i="26"/>
  <c r="H26" i="26"/>
  <c r="H18" i="26"/>
  <c r="I18" i="26" s="1"/>
  <c r="L24" i="26"/>
  <c r="L20" i="26"/>
  <c r="L23" i="26"/>
  <c r="L26" i="26"/>
  <c r="L22" i="26"/>
  <c r="L18" i="26"/>
  <c r="M18" i="26" s="1"/>
  <c r="L25" i="26"/>
  <c r="L21" i="26"/>
  <c r="L27" i="26"/>
  <c r="L19" i="26"/>
  <c r="O26" i="20"/>
  <c r="O27" i="20" s="1"/>
  <c r="H11" i="15"/>
  <c r="E9" i="20"/>
  <c r="D27" i="41" l="1"/>
  <c r="D20" i="41"/>
  <c r="D21" i="41"/>
  <c r="D23" i="41"/>
  <c r="D26" i="41"/>
  <c r="D25" i="41"/>
  <c r="D22" i="41"/>
  <c r="D28" i="41"/>
  <c r="D24" i="41"/>
  <c r="B21" i="41"/>
  <c r="B24" i="41"/>
  <c r="B28" i="41"/>
  <c r="B20" i="41"/>
  <c r="B23" i="41"/>
  <c r="B26" i="41"/>
  <c r="B27" i="41"/>
  <c r="B22" i="41"/>
  <c r="B25" i="41"/>
  <c r="E20" i="41"/>
  <c r="E21" i="41" s="1"/>
  <c r="E22" i="41" s="1"/>
  <c r="C20" i="41"/>
  <c r="C21" i="41" s="1"/>
  <c r="C22" i="41" s="1"/>
  <c r="C23" i="41" s="1"/>
  <c r="C24" i="41" s="1"/>
  <c r="C25" i="41" s="1"/>
  <c r="C26" i="41" s="1"/>
  <c r="C27" i="41" s="1"/>
  <c r="C28" i="41" s="1"/>
  <c r="I14" i="29"/>
  <c r="D22" i="35"/>
  <c r="D24" i="35"/>
  <c r="D25" i="35"/>
  <c r="D19" i="35"/>
  <c r="D17" i="35"/>
  <c r="D18" i="35"/>
  <c r="D20" i="35"/>
  <c r="D23" i="35"/>
  <c r="D21" i="35"/>
  <c r="B20" i="35"/>
  <c r="B17" i="35"/>
  <c r="B18" i="35"/>
  <c r="B24" i="35"/>
  <c r="B21" i="35"/>
  <c r="B22" i="35"/>
  <c r="B19" i="35"/>
  <c r="B23" i="35"/>
  <c r="B25" i="35"/>
  <c r="J11" i="15"/>
  <c r="D9" i="20"/>
  <c r="J7" i="35"/>
  <c r="D16" i="35" s="1"/>
  <c r="E16" i="35" s="1"/>
  <c r="E17" i="35" s="1"/>
  <c r="D9" i="26"/>
  <c r="D18" i="26" s="1"/>
  <c r="E18" i="26" s="1"/>
  <c r="I11" i="15"/>
  <c r="V8" i="36" s="1"/>
  <c r="W8" i="36" s="1"/>
  <c r="H7" i="35"/>
  <c r="B16" i="35" s="1"/>
  <c r="C16" i="35" s="1"/>
  <c r="B9" i="26"/>
  <c r="B18" i="26" s="1"/>
  <c r="C18" i="26" s="1"/>
  <c r="B9" i="20"/>
  <c r="B21" i="26"/>
  <c r="B26" i="26"/>
  <c r="B22" i="26"/>
  <c r="B27" i="26"/>
  <c r="B20" i="26"/>
  <c r="B25" i="26"/>
  <c r="B19" i="26"/>
  <c r="B23" i="26"/>
  <c r="B24" i="26"/>
  <c r="D25" i="26"/>
  <c r="D21" i="26"/>
  <c r="D24" i="26"/>
  <c r="D20" i="26"/>
  <c r="D26" i="26"/>
  <c r="D27" i="26"/>
  <c r="D23" i="26"/>
  <c r="D19" i="26"/>
  <c r="D22" i="26"/>
  <c r="E14" i="29"/>
  <c r="F10" i="17"/>
  <c r="O28" i="20"/>
  <c r="K73" i="26"/>
  <c r="K74" i="26" s="1"/>
  <c r="K75" i="26" s="1"/>
  <c r="K76" i="26" s="1"/>
  <c r="K77" i="26" s="1"/>
  <c r="K78" i="26" s="1"/>
  <c r="K79" i="26" s="1"/>
  <c r="M71" i="26"/>
  <c r="M72" i="26" s="1"/>
  <c r="M73" i="26" s="1"/>
  <c r="M74" i="26" s="1"/>
  <c r="M75" i="26" s="1"/>
  <c r="M76" i="26" s="1"/>
  <c r="M77" i="26" s="1"/>
  <c r="M78" i="26" s="1"/>
  <c r="M79" i="26" s="1"/>
  <c r="M19" i="26"/>
  <c r="M20" i="26" s="1"/>
  <c r="M21" i="26" s="1"/>
  <c r="M22" i="26" s="1"/>
  <c r="M23" i="26" s="1"/>
  <c r="M24" i="26" s="1"/>
  <c r="M25" i="26" s="1"/>
  <c r="M26" i="26" s="1"/>
  <c r="M27" i="26" s="1"/>
  <c r="G71" i="26"/>
  <c r="G72" i="26" s="1"/>
  <c r="G73" i="26" s="1"/>
  <c r="G74" i="26" s="1"/>
  <c r="I19" i="26"/>
  <c r="I20" i="26" s="1"/>
  <c r="I21" i="26" s="1"/>
  <c r="I22" i="26" s="1"/>
  <c r="I23" i="26" s="1"/>
  <c r="I24" i="26" s="1"/>
  <c r="I25" i="26" s="1"/>
  <c r="I26" i="26" s="1"/>
  <c r="I27" i="26" s="1"/>
  <c r="I71" i="26"/>
  <c r="I72" i="26" s="1"/>
  <c r="I73" i="26" s="1"/>
  <c r="I74" i="26" s="1"/>
  <c r="I75" i="26" s="1"/>
  <c r="I76" i="26" s="1"/>
  <c r="I77" i="26" s="1"/>
  <c r="I78" i="26" s="1"/>
  <c r="I79" i="26" s="1"/>
  <c r="D26" i="20"/>
  <c r="D22" i="20"/>
  <c r="D27" i="20"/>
  <c r="D21" i="20"/>
  <c r="D25" i="20"/>
  <c r="D24" i="20"/>
  <c r="D20" i="20"/>
  <c r="D23" i="20"/>
  <c r="D19" i="20"/>
  <c r="B26" i="20"/>
  <c r="B22" i="20"/>
  <c r="B27" i="20"/>
  <c r="B23" i="20"/>
  <c r="B19" i="20"/>
  <c r="B24" i="20"/>
  <c r="B20" i="20"/>
  <c r="B25" i="20"/>
  <c r="B21" i="20"/>
  <c r="E23" i="41" l="1"/>
  <c r="E24" i="41" s="1"/>
  <c r="E25" i="41" s="1"/>
  <c r="E26" i="41" s="1"/>
  <c r="E27" i="41" s="1"/>
  <c r="E28" i="41" s="1"/>
  <c r="C17" i="35"/>
  <c r="C18" i="35" s="1"/>
  <c r="C19" i="35" s="1"/>
  <c r="C20" i="35" s="1"/>
  <c r="C21" i="35" s="1"/>
  <c r="C22" i="35" s="1"/>
  <c r="C23" i="35" s="1"/>
  <c r="C24" i="35" s="1"/>
  <c r="C25" i="35" s="1"/>
  <c r="E18" i="35"/>
  <c r="E19" i="35" s="1"/>
  <c r="E20" i="35" s="1"/>
  <c r="E21" i="35" s="1"/>
  <c r="E22" i="35" s="1"/>
  <c r="E23" i="35" s="1"/>
  <c r="E24" i="35" s="1"/>
  <c r="E25" i="35" s="1"/>
  <c r="E19" i="26"/>
  <c r="E20" i="26" s="1"/>
  <c r="E21" i="26" s="1"/>
  <c r="E22" i="26" s="1"/>
  <c r="E23" i="26" s="1"/>
  <c r="E24" i="26" s="1"/>
  <c r="E25" i="26" s="1"/>
  <c r="E26" i="26" s="1"/>
  <c r="E27" i="26" s="1"/>
  <c r="D18" i="20"/>
  <c r="E18" i="20" s="1"/>
  <c r="E19" i="20" s="1"/>
  <c r="E20" i="20" s="1"/>
  <c r="C19" i="26"/>
  <c r="C20" i="26" s="1"/>
  <c r="C21" i="26" s="1"/>
  <c r="C22" i="26" s="1"/>
  <c r="C23" i="26" s="1"/>
  <c r="C24" i="26" s="1"/>
  <c r="C25" i="26" s="1"/>
  <c r="C26" i="26" s="1"/>
  <c r="C27" i="26" s="1"/>
  <c r="H10" i="17"/>
  <c r="I4" i="22"/>
  <c r="G75" i="26"/>
  <c r="G76" i="26" s="1"/>
  <c r="G77" i="26" s="1"/>
  <c r="G78" i="26" s="1"/>
  <c r="G79" i="26" s="1"/>
  <c r="F14" i="27" s="1"/>
  <c r="F20" i="26"/>
  <c r="F25" i="26"/>
  <c r="F27" i="26"/>
  <c r="F23" i="26"/>
  <c r="F24" i="26"/>
  <c r="F26" i="26"/>
  <c r="F22" i="26"/>
  <c r="F18" i="26"/>
  <c r="G18" i="26" s="1"/>
  <c r="F19" i="26"/>
  <c r="F21" i="26"/>
  <c r="C5" i="22"/>
  <c r="B12" i="20"/>
  <c r="D14" i="15"/>
  <c r="C14" i="15"/>
  <c r="E10" i="17"/>
  <c r="S11" i="36" l="1"/>
  <c r="B10" i="38"/>
  <c r="I11" i="36"/>
  <c r="P12" i="20"/>
  <c r="C10" i="38"/>
  <c r="F12" i="20"/>
  <c r="F12" i="26"/>
  <c r="J11" i="36"/>
  <c r="K56" i="36" s="1"/>
  <c r="M11" i="36"/>
  <c r="N13" i="41"/>
  <c r="N11" i="36"/>
  <c r="F13" i="41"/>
  <c r="H13" i="41"/>
  <c r="H12" i="20"/>
  <c r="H12" i="26"/>
  <c r="P11" i="36"/>
  <c r="P13" i="41"/>
  <c r="O11" i="36"/>
  <c r="L11" i="36"/>
  <c r="M56" i="36" s="1"/>
  <c r="N56" i="36" s="1"/>
  <c r="K11" i="36"/>
  <c r="J13" i="41"/>
  <c r="L13" i="41"/>
  <c r="H8" i="43"/>
  <c r="A10" i="41"/>
  <c r="K44" i="22"/>
  <c r="T12" i="20"/>
  <c r="O44" i="22" s="1"/>
  <c r="U12" i="26"/>
  <c r="P44" i="22" s="1"/>
  <c r="L12" i="26"/>
  <c r="L12" i="20"/>
  <c r="Q12" i="26"/>
  <c r="L44" i="22" s="1"/>
  <c r="N12" i="20"/>
  <c r="I44" i="22" s="1"/>
  <c r="R12" i="20"/>
  <c r="M44" i="22" s="1"/>
  <c r="S12" i="26"/>
  <c r="N44" i="22" s="1"/>
  <c r="J12" i="20"/>
  <c r="J12" i="26"/>
  <c r="O12" i="26"/>
  <c r="J44" i="22" s="1"/>
  <c r="C10" i="39"/>
  <c r="E10" i="39"/>
  <c r="E10" i="38"/>
  <c r="D10" i="39"/>
  <c r="B10" i="39"/>
  <c r="D10" i="38"/>
  <c r="J14" i="15"/>
  <c r="J10" i="35"/>
  <c r="G7" i="35"/>
  <c r="H8" i="36"/>
  <c r="L11" i="15"/>
  <c r="D14" i="29"/>
  <c r="E5" i="22"/>
  <c r="D12" i="20"/>
  <c r="D67" i="20" s="1"/>
  <c r="D12" i="26"/>
  <c r="G19" i="26"/>
  <c r="G20" i="26" s="1"/>
  <c r="G21" i="26" s="1"/>
  <c r="G22" i="26" s="1"/>
  <c r="A9" i="20"/>
  <c r="A9" i="26"/>
  <c r="L14" i="4"/>
  <c r="D12" i="41" s="1"/>
  <c r="F6" i="22"/>
  <c r="D6" i="22"/>
  <c r="C6" i="22"/>
  <c r="N37" i="20"/>
  <c r="N34" i="20"/>
  <c r="N32" i="20"/>
  <c r="N38" i="20"/>
  <c r="N35" i="20"/>
  <c r="N39" i="20"/>
  <c r="N36" i="20"/>
  <c r="N31" i="20"/>
  <c r="O31" i="20" s="1"/>
  <c r="N40" i="20"/>
  <c r="N33" i="20"/>
  <c r="F5" i="22"/>
  <c r="D5" i="22"/>
  <c r="R32" i="20"/>
  <c r="R36" i="20"/>
  <c r="R37" i="20"/>
  <c r="R34" i="20"/>
  <c r="R38" i="20"/>
  <c r="R33" i="20"/>
  <c r="R39" i="20"/>
  <c r="R35" i="20"/>
  <c r="R31" i="20"/>
  <c r="S31" i="20" s="1"/>
  <c r="S32" i="20" s="1"/>
  <c r="R40" i="20"/>
  <c r="E21" i="20"/>
  <c r="E22" i="20" s="1"/>
  <c r="E23" i="20" s="1"/>
  <c r="E24" i="20" s="1"/>
  <c r="E25" i="20" s="1"/>
  <c r="E26" i="20" s="1"/>
  <c r="E27" i="20" s="1"/>
  <c r="P11" i="15" s="1"/>
  <c r="H6" i="45" s="1"/>
  <c r="D40" i="20"/>
  <c r="D39" i="20"/>
  <c r="D35" i="20"/>
  <c r="D31" i="20"/>
  <c r="D37" i="20"/>
  <c r="D33" i="20"/>
  <c r="D34" i="20"/>
  <c r="D38" i="20"/>
  <c r="D32" i="20"/>
  <c r="D36" i="20"/>
  <c r="B66" i="20"/>
  <c r="B65" i="20"/>
  <c r="B61" i="20"/>
  <c r="B67" i="20"/>
  <c r="B63" i="20"/>
  <c r="B59" i="20"/>
  <c r="B58" i="20"/>
  <c r="B60" i="20"/>
  <c r="B64" i="20"/>
  <c r="B62" i="20"/>
  <c r="B18" i="20"/>
  <c r="R11" i="36" l="1"/>
  <c r="U11" i="36" s="1"/>
  <c r="X11" i="36"/>
  <c r="Y11" i="36" s="1"/>
  <c r="W11" i="36"/>
  <c r="J58" i="41"/>
  <c r="K58" i="41" s="1"/>
  <c r="J63" i="41"/>
  <c r="J67" i="41"/>
  <c r="J64" i="41"/>
  <c r="J61" i="41"/>
  <c r="J66" i="41"/>
  <c r="J62" i="41"/>
  <c r="J65" i="41"/>
  <c r="J59" i="41"/>
  <c r="J60" i="41"/>
  <c r="P58" i="41"/>
  <c r="Q58" i="41" s="1"/>
  <c r="P62" i="41"/>
  <c r="P64" i="41"/>
  <c r="P61" i="41"/>
  <c r="P63" i="41"/>
  <c r="P67" i="41"/>
  <c r="X13" i="41"/>
  <c r="P66" i="41"/>
  <c r="P65" i="41"/>
  <c r="P60" i="41"/>
  <c r="V13" i="41"/>
  <c r="P59" i="41"/>
  <c r="D46" i="41"/>
  <c r="D49" i="41"/>
  <c r="D52" i="41"/>
  <c r="D45" i="41"/>
  <c r="E45" i="41" s="1"/>
  <c r="E46" i="41" s="1"/>
  <c r="D51" i="41"/>
  <c r="D54" i="41"/>
  <c r="D48" i="41"/>
  <c r="D47" i="41"/>
  <c r="D50" i="41"/>
  <c r="D53" i="41"/>
  <c r="H67" i="41"/>
  <c r="H62" i="41"/>
  <c r="H60" i="41"/>
  <c r="H61" i="41"/>
  <c r="H65" i="41"/>
  <c r="H58" i="41"/>
  <c r="I58" i="41" s="1"/>
  <c r="H63" i="41"/>
  <c r="H64" i="41"/>
  <c r="H66" i="41"/>
  <c r="H59" i="41"/>
  <c r="T13" i="41"/>
  <c r="N60" i="41"/>
  <c r="N63" i="41"/>
  <c r="N59" i="41"/>
  <c r="N61" i="41"/>
  <c r="N64" i="41"/>
  <c r="N58" i="41"/>
  <c r="O58" i="41" s="1"/>
  <c r="N66" i="41"/>
  <c r="R13" i="41"/>
  <c r="N62" i="41"/>
  <c r="N65" i="41"/>
  <c r="N67" i="41"/>
  <c r="L58" i="41"/>
  <c r="M58" i="41" s="1"/>
  <c r="L63" i="41"/>
  <c r="L64" i="41"/>
  <c r="L66" i="41"/>
  <c r="L61" i="41"/>
  <c r="L67" i="41"/>
  <c r="L60" i="41"/>
  <c r="L65" i="41"/>
  <c r="L59" i="41"/>
  <c r="L62" i="41"/>
  <c r="F66" i="41"/>
  <c r="F65" i="41"/>
  <c r="F62" i="41"/>
  <c r="F64" i="41"/>
  <c r="F61" i="41"/>
  <c r="F58" i="41"/>
  <c r="G58" i="41" s="1"/>
  <c r="F67" i="41"/>
  <c r="F63" i="41"/>
  <c r="F60" i="41"/>
  <c r="F59" i="41"/>
  <c r="J36" i="35"/>
  <c r="J37" i="35"/>
  <c r="J30" i="35"/>
  <c r="J31" i="35"/>
  <c r="J35" i="35"/>
  <c r="J33" i="35"/>
  <c r="J29" i="35"/>
  <c r="K29" i="35" s="1"/>
  <c r="K30" i="35" s="1"/>
  <c r="J34" i="35"/>
  <c r="J38" i="35"/>
  <c r="J32" i="35"/>
  <c r="J13" i="15"/>
  <c r="J9" i="35"/>
  <c r="H65" i="36"/>
  <c r="H61" i="36"/>
  <c r="H57" i="36"/>
  <c r="H62" i="36"/>
  <c r="H56" i="36"/>
  <c r="I56" i="36" s="1"/>
  <c r="H60" i="36"/>
  <c r="H64" i="36"/>
  <c r="H59" i="36"/>
  <c r="H63" i="36"/>
  <c r="H58" i="36"/>
  <c r="F63" i="36"/>
  <c r="F59" i="36"/>
  <c r="F64" i="36"/>
  <c r="F58" i="36"/>
  <c r="F62" i="36"/>
  <c r="F57" i="36"/>
  <c r="F61" i="36"/>
  <c r="F56" i="36"/>
  <c r="G56" i="36" s="1"/>
  <c r="F65" i="36"/>
  <c r="F60" i="36"/>
  <c r="Q63" i="36"/>
  <c r="Q59" i="36"/>
  <c r="Q65" i="36"/>
  <c r="Q61" i="36"/>
  <c r="Q57" i="36"/>
  <c r="Q64" i="36"/>
  <c r="Q60" i="36"/>
  <c r="Q56" i="36"/>
  <c r="R56" i="36" s="1"/>
  <c r="Q58" i="36"/>
  <c r="Q62" i="36"/>
  <c r="O65" i="36"/>
  <c r="O61" i="36"/>
  <c r="O57" i="36"/>
  <c r="O63" i="36"/>
  <c r="O59" i="36"/>
  <c r="O62" i="36"/>
  <c r="O58" i="36"/>
  <c r="O60" i="36"/>
  <c r="O56" i="36"/>
  <c r="P56" i="36" s="1"/>
  <c r="O64" i="36"/>
  <c r="M63" i="36"/>
  <c r="M59" i="36"/>
  <c r="M65" i="36"/>
  <c r="M61" i="36"/>
  <c r="M57" i="36"/>
  <c r="N57" i="36" s="1"/>
  <c r="M64" i="36"/>
  <c r="M60" i="36"/>
  <c r="M62" i="36"/>
  <c r="M58" i="36"/>
  <c r="L56" i="36"/>
  <c r="K65" i="36"/>
  <c r="K61" i="36"/>
  <c r="K57" i="36"/>
  <c r="K64" i="36"/>
  <c r="K60" i="36"/>
  <c r="K62" i="36"/>
  <c r="K59" i="36"/>
  <c r="K58" i="36"/>
  <c r="K63" i="36"/>
  <c r="B58" i="36"/>
  <c r="B62" i="36"/>
  <c r="B63" i="36"/>
  <c r="B60" i="36"/>
  <c r="B65" i="36"/>
  <c r="B64" i="36"/>
  <c r="B61" i="36"/>
  <c r="B59" i="36"/>
  <c r="B57" i="36"/>
  <c r="B56" i="36"/>
  <c r="C56" i="36" s="1"/>
  <c r="D63" i="36"/>
  <c r="D65" i="36"/>
  <c r="D60" i="36"/>
  <c r="D57" i="36"/>
  <c r="D59" i="36"/>
  <c r="D61" i="36"/>
  <c r="D56" i="36"/>
  <c r="E56" i="36" s="1"/>
  <c r="D62" i="36"/>
  <c r="D58" i="36"/>
  <c r="D64" i="36"/>
  <c r="C7" i="22"/>
  <c r="D66" i="20"/>
  <c r="G23" i="26"/>
  <c r="G24" i="26" s="1"/>
  <c r="G25" i="26" s="1"/>
  <c r="G26" i="26" s="1"/>
  <c r="G27" i="26" s="1"/>
  <c r="D7" i="22"/>
  <c r="E6" i="22"/>
  <c r="F7" i="22"/>
  <c r="D60" i="20"/>
  <c r="D58" i="20"/>
  <c r="E58" i="20" s="1"/>
  <c r="D59" i="20"/>
  <c r="D62" i="20"/>
  <c r="D61" i="20"/>
  <c r="D63" i="20"/>
  <c r="D64" i="20"/>
  <c r="D65" i="20"/>
  <c r="D65" i="26"/>
  <c r="D60" i="26"/>
  <c r="D66" i="26"/>
  <c r="D61" i="26"/>
  <c r="D63" i="26"/>
  <c r="D57" i="26"/>
  <c r="E57" i="26" s="1"/>
  <c r="D62" i="26"/>
  <c r="D58" i="26"/>
  <c r="D59" i="26"/>
  <c r="D64" i="26"/>
  <c r="E7" i="22"/>
  <c r="N66" i="26"/>
  <c r="N61" i="26"/>
  <c r="N64" i="26"/>
  <c r="N58" i="26"/>
  <c r="N59" i="26"/>
  <c r="N60" i="26"/>
  <c r="N65" i="26"/>
  <c r="N57" i="26"/>
  <c r="O57" i="26" s="1"/>
  <c r="N62" i="26"/>
  <c r="N63" i="26"/>
  <c r="R65" i="26"/>
  <c r="R63" i="26"/>
  <c r="R58" i="26"/>
  <c r="R57" i="26"/>
  <c r="S57" i="26" s="1"/>
  <c r="R66" i="26"/>
  <c r="R64" i="26"/>
  <c r="R62" i="26"/>
  <c r="R59" i="26"/>
  <c r="R60" i="26"/>
  <c r="R61" i="26"/>
  <c r="P58" i="26"/>
  <c r="P59" i="26"/>
  <c r="P66" i="26"/>
  <c r="P60" i="26"/>
  <c r="P61" i="26"/>
  <c r="P62" i="26"/>
  <c r="P63" i="26"/>
  <c r="P57" i="26"/>
  <c r="Q57" i="26" s="1"/>
  <c r="P64" i="26"/>
  <c r="P65" i="26"/>
  <c r="T63" i="26"/>
  <c r="T58" i="26"/>
  <c r="T64" i="26"/>
  <c r="T66" i="26"/>
  <c r="T61" i="26"/>
  <c r="T62" i="26"/>
  <c r="T57" i="26"/>
  <c r="U57" i="26" s="1"/>
  <c r="T65" i="26"/>
  <c r="T59" i="26"/>
  <c r="T60" i="26"/>
  <c r="D11" i="20"/>
  <c r="D53" i="20" s="1"/>
  <c r="D11" i="26"/>
  <c r="O32" i="20"/>
  <c r="O33" i="20" s="1"/>
  <c r="O34" i="20" s="1"/>
  <c r="O35" i="20" s="1"/>
  <c r="P64" i="20"/>
  <c r="P58" i="20"/>
  <c r="Q58" i="20" s="1"/>
  <c r="P59" i="20"/>
  <c r="P61" i="20"/>
  <c r="P65" i="20"/>
  <c r="P60" i="20"/>
  <c r="P66" i="20"/>
  <c r="P63" i="20"/>
  <c r="P62" i="20"/>
  <c r="P67" i="20"/>
  <c r="N58" i="20"/>
  <c r="O58" i="20" s="1"/>
  <c r="N64" i="20"/>
  <c r="N66" i="20"/>
  <c r="N59" i="20"/>
  <c r="N61" i="20"/>
  <c r="N60" i="20"/>
  <c r="N62" i="20"/>
  <c r="N67" i="20"/>
  <c r="N65" i="20"/>
  <c r="N63" i="20"/>
  <c r="P33" i="20"/>
  <c r="P37" i="20"/>
  <c r="P31" i="20"/>
  <c r="Q31" i="20" s="1"/>
  <c r="P39" i="20"/>
  <c r="P36" i="20"/>
  <c r="P34" i="20"/>
  <c r="P38" i="20"/>
  <c r="P35" i="20"/>
  <c r="P32" i="20"/>
  <c r="P40" i="20"/>
  <c r="R45" i="20"/>
  <c r="R51" i="20"/>
  <c r="R49" i="20"/>
  <c r="R48" i="20"/>
  <c r="R52" i="20"/>
  <c r="R53" i="20"/>
  <c r="R46" i="20"/>
  <c r="R50" i="20"/>
  <c r="R44" i="20"/>
  <c r="S44" i="20" s="1"/>
  <c r="S45" i="20" s="1"/>
  <c r="R47" i="20"/>
  <c r="P47" i="20"/>
  <c r="P49" i="20"/>
  <c r="P44" i="20"/>
  <c r="Q44" i="20" s="1"/>
  <c r="P53" i="20"/>
  <c r="P52" i="20"/>
  <c r="P50" i="20"/>
  <c r="P51" i="20"/>
  <c r="P46" i="20"/>
  <c r="P48" i="20"/>
  <c r="P45" i="20"/>
  <c r="S33" i="20"/>
  <c r="S34" i="20" s="1"/>
  <c r="S35" i="20" s="1"/>
  <c r="T67" i="20"/>
  <c r="T66" i="20"/>
  <c r="T61" i="20"/>
  <c r="T64" i="20"/>
  <c r="T62" i="20"/>
  <c r="T58" i="20"/>
  <c r="U58" i="20" s="1"/>
  <c r="T63" i="20"/>
  <c r="T59" i="20"/>
  <c r="T60" i="20"/>
  <c r="T65" i="20"/>
  <c r="R67" i="20"/>
  <c r="R63" i="20"/>
  <c r="R58" i="20"/>
  <c r="S58" i="20" s="1"/>
  <c r="R59" i="20"/>
  <c r="R65" i="20"/>
  <c r="R60" i="20"/>
  <c r="R66" i="20"/>
  <c r="R64" i="20"/>
  <c r="R62" i="20"/>
  <c r="R61" i="20"/>
  <c r="T31" i="20"/>
  <c r="U31" i="20" s="1"/>
  <c r="T37" i="20"/>
  <c r="T36" i="20"/>
  <c r="T32" i="20"/>
  <c r="T38" i="20"/>
  <c r="T39" i="20"/>
  <c r="T33" i="20"/>
  <c r="T34" i="20"/>
  <c r="T35" i="20"/>
  <c r="T40" i="20"/>
  <c r="N50" i="20"/>
  <c r="N45" i="20"/>
  <c r="N44" i="20"/>
  <c r="O44" i="20" s="1"/>
  <c r="N51" i="20"/>
  <c r="N53" i="20"/>
  <c r="N48" i="20"/>
  <c r="N52" i="20"/>
  <c r="N49" i="20"/>
  <c r="N47" i="20"/>
  <c r="N46" i="20"/>
  <c r="T50" i="20"/>
  <c r="T47" i="20"/>
  <c r="T52" i="20"/>
  <c r="T51" i="20"/>
  <c r="T44" i="20"/>
  <c r="U44" i="20" s="1"/>
  <c r="T53" i="20"/>
  <c r="T48" i="20"/>
  <c r="T45" i="20"/>
  <c r="T49" i="20"/>
  <c r="T46" i="20"/>
  <c r="C18" i="20"/>
  <c r="C19" i="20" s="1"/>
  <c r="C20" i="20" s="1"/>
  <c r="C21" i="20" s="1"/>
  <c r="K11" i="15"/>
  <c r="M11" i="15" s="1"/>
  <c r="J26" i="20"/>
  <c r="J19" i="20"/>
  <c r="J27" i="20"/>
  <c r="J24" i="20"/>
  <c r="J21" i="20"/>
  <c r="J22" i="20"/>
  <c r="J23" i="20"/>
  <c r="J20" i="20"/>
  <c r="J25" i="20"/>
  <c r="J18" i="20"/>
  <c r="K18" i="20" s="1"/>
  <c r="K19" i="20" s="1"/>
  <c r="F79" i="20"/>
  <c r="F71" i="20"/>
  <c r="G71" i="20" s="1"/>
  <c r="F74" i="20"/>
  <c r="F73" i="20"/>
  <c r="F76" i="20"/>
  <c r="F75" i="20"/>
  <c r="F78" i="20"/>
  <c r="F77" i="20"/>
  <c r="F80" i="20"/>
  <c r="F72" i="20"/>
  <c r="H79" i="20"/>
  <c r="H71" i="20"/>
  <c r="I71" i="20" s="1"/>
  <c r="H74" i="20"/>
  <c r="H73" i="20"/>
  <c r="H76" i="20"/>
  <c r="H75" i="20"/>
  <c r="H78" i="20"/>
  <c r="H77" i="20"/>
  <c r="H80" i="20"/>
  <c r="H72" i="20"/>
  <c r="H27" i="20"/>
  <c r="H20" i="20"/>
  <c r="H25" i="20"/>
  <c r="H22" i="20"/>
  <c r="H23" i="20"/>
  <c r="H24" i="20"/>
  <c r="H21" i="20"/>
  <c r="H18" i="20"/>
  <c r="I18" i="20" s="1"/>
  <c r="H26" i="20"/>
  <c r="H19" i="20"/>
  <c r="E31" i="20"/>
  <c r="E32" i="20" s="1"/>
  <c r="E33" i="20" s="1"/>
  <c r="E34" i="20" s="1"/>
  <c r="E35" i="20" s="1"/>
  <c r="E36" i="20" s="1"/>
  <c r="E37" i="20" s="1"/>
  <c r="E38" i="20" s="1"/>
  <c r="E39" i="20" s="1"/>
  <c r="E40" i="20" s="1"/>
  <c r="L12" i="15"/>
  <c r="M12" i="15" s="1"/>
  <c r="F24" i="20"/>
  <c r="F21" i="20"/>
  <c r="F18" i="20"/>
  <c r="G18" i="20" s="1"/>
  <c r="F26" i="20"/>
  <c r="F19" i="20"/>
  <c r="F27" i="20"/>
  <c r="F20" i="20"/>
  <c r="F25" i="20"/>
  <c r="F22" i="20"/>
  <c r="F23" i="20"/>
  <c r="K14" i="15"/>
  <c r="C58" i="20"/>
  <c r="C59" i="20" s="1"/>
  <c r="C60" i="20" s="1"/>
  <c r="C61" i="20" s="1"/>
  <c r="C62" i="20" s="1"/>
  <c r="C63" i="20" s="1"/>
  <c r="C64" i="20" s="1"/>
  <c r="C65" i="20" s="1"/>
  <c r="C66" i="20" s="1"/>
  <c r="C67" i="20" s="1"/>
  <c r="O14" i="15" s="1"/>
  <c r="E9" i="45" s="1"/>
  <c r="J78" i="20"/>
  <c r="J77" i="20"/>
  <c r="J80" i="20"/>
  <c r="J72" i="20"/>
  <c r="J75" i="20"/>
  <c r="J74" i="20"/>
  <c r="J73" i="20"/>
  <c r="J76" i="20"/>
  <c r="J79" i="20"/>
  <c r="J71" i="20"/>
  <c r="K71" i="20" s="1"/>
  <c r="L77" i="20"/>
  <c r="L71" i="20"/>
  <c r="M71" i="20" s="1"/>
  <c r="L76" i="20"/>
  <c r="L79" i="20"/>
  <c r="L78" i="20"/>
  <c r="L73" i="20"/>
  <c r="L80" i="20"/>
  <c r="L72" i="20"/>
  <c r="L75" i="20"/>
  <c r="L74" i="20"/>
  <c r="M18" i="20"/>
  <c r="M59" i="41" l="1"/>
  <c r="M60" i="41" s="1"/>
  <c r="M61" i="41" s="1"/>
  <c r="M62" i="41" s="1"/>
  <c r="M63" i="41" s="1"/>
  <c r="M64" i="41" s="1"/>
  <c r="M65" i="41" s="1"/>
  <c r="M66" i="41" s="1"/>
  <c r="M67" i="41" s="1"/>
  <c r="I11" i="43"/>
  <c r="R63" i="41"/>
  <c r="R62" i="41"/>
  <c r="R64" i="41"/>
  <c r="R58" i="41"/>
  <c r="S58" i="41" s="1"/>
  <c r="R60" i="41"/>
  <c r="R66" i="41"/>
  <c r="R61" i="41"/>
  <c r="R65" i="41"/>
  <c r="R67" i="41"/>
  <c r="R59" i="41"/>
  <c r="T59" i="41"/>
  <c r="T63" i="41"/>
  <c r="T67" i="41"/>
  <c r="T61" i="41"/>
  <c r="T65" i="41"/>
  <c r="T60" i="41"/>
  <c r="T62" i="41"/>
  <c r="T66" i="41"/>
  <c r="T64" i="41"/>
  <c r="T58" i="41"/>
  <c r="U58" i="41" s="1"/>
  <c r="J11" i="43"/>
  <c r="Q59" i="41"/>
  <c r="Q60" i="41" s="1"/>
  <c r="Q61" i="41" s="1"/>
  <c r="Q62" i="41" s="1"/>
  <c r="Q63" i="41" s="1"/>
  <c r="Q64" i="41" s="1"/>
  <c r="Q65" i="41" s="1"/>
  <c r="Q66" i="41" s="1"/>
  <c r="Q67" i="41" s="1"/>
  <c r="G59" i="41"/>
  <c r="G60" i="41" s="1"/>
  <c r="G61" i="41" s="1"/>
  <c r="G62" i="41" s="1"/>
  <c r="G63" i="41" s="1"/>
  <c r="G64" i="41" s="1"/>
  <c r="G65" i="41" s="1"/>
  <c r="G66" i="41" s="1"/>
  <c r="G67" i="41" s="1"/>
  <c r="I59" i="41"/>
  <c r="I60" i="41" s="1"/>
  <c r="I61" i="41" s="1"/>
  <c r="I62" i="41" s="1"/>
  <c r="I63" i="41" s="1"/>
  <c r="I64" i="41" s="1"/>
  <c r="I65" i="41" s="1"/>
  <c r="I66" i="41" s="1"/>
  <c r="I67" i="41" s="1"/>
  <c r="E47" i="41"/>
  <c r="E48" i="41" s="1"/>
  <c r="E49" i="41" s="1"/>
  <c r="E50" i="41" s="1"/>
  <c r="E51" i="41" s="1"/>
  <c r="E52" i="41" s="1"/>
  <c r="E53" i="41" s="1"/>
  <c r="E54" i="41" s="1"/>
  <c r="O59" i="41"/>
  <c r="O60" i="41" s="1"/>
  <c r="O61" i="41" s="1"/>
  <c r="O62" i="41" s="1"/>
  <c r="O63" i="41" s="1"/>
  <c r="O64" i="41" s="1"/>
  <c r="O65" i="41" s="1"/>
  <c r="O66" i="41" s="1"/>
  <c r="O67" i="41" s="1"/>
  <c r="K11" i="43"/>
  <c r="V61" i="41"/>
  <c r="V63" i="41"/>
  <c r="V66" i="41"/>
  <c r="V59" i="41"/>
  <c r="V58" i="41"/>
  <c r="W58" i="41" s="1"/>
  <c r="V64" i="41"/>
  <c r="V65" i="41"/>
  <c r="V60" i="41"/>
  <c r="V62" i="41"/>
  <c r="V67" i="41"/>
  <c r="L11" i="43"/>
  <c r="X62" i="41"/>
  <c r="X61" i="41"/>
  <c r="X65" i="41"/>
  <c r="X63" i="41"/>
  <c r="X60" i="41"/>
  <c r="X58" i="41"/>
  <c r="Y58" i="41" s="1"/>
  <c r="X66" i="41"/>
  <c r="X67" i="41"/>
  <c r="X59" i="41"/>
  <c r="X64" i="41"/>
  <c r="K59" i="41"/>
  <c r="K60" i="41" s="1"/>
  <c r="K61" i="41" s="1"/>
  <c r="K62" i="41" s="1"/>
  <c r="K63" i="41" s="1"/>
  <c r="K64" i="41" s="1"/>
  <c r="K65" i="41" s="1"/>
  <c r="K66" i="41" s="1"/>
  <c r="K67" i="41" s="1"/>
  <c r="O58" i="26"/>
  <c r="L14" i="15"/>
  <c r="K31" i="35"/>
  <c r="K32" i="35" s="1"/>
  <c r="K33" i="35" s="1"/>
  <c r="K34" i="35" s="1"/>
  <c r="K35" i="35" s="1"/>
  <c r="K36" i="35" s="1"/>
  <c r="K37" i="35" s="1"/>
  <c r="K38" i="35" s="1"/>
  <c r="P19" i="35"/>
  <c r="P24" i="35"/>
  <c r="P25" i="35"/>
  <c r="P16" i="35"/>
  <c r="Q16" i="35" s="1"/>
  <c r="P18" i="35"/>
  <c r="P17" i="35"/>
  <c r="P23" i="35"/>
  <c r="P22" i="35"/>
  <c r="P20" i="35"/>
  <c r="P21" i="35"/>
  <c r="P12" i="15"/>
  <c r="R57" i="36"/>
  <c r="R58" i="36" s="1"/>
  <c r="R59" i="36" s="1"/>
  <c r="R60" i="36" s="1"/>
  <c r="R61" i="36" s="1"/>
  <c r="R62" i="36" s="1"/>
  <c r="R63" i="36" s="1"/>
  <c r="R64" i="36" s="1"/>
  <c r="R65" i="36" s="1"/>
  <c r="P57" i="36"/>
  <c r="P58" i="36" s="1"/>
  <c r="P59" i="36" s="1"/>
  <c r="P60" i="36" s="1"/>
  <c r="P61" i="36" s="1"/>
  <c r="P62" i="36" s="1"/>
  <c r="P63" i="36" s="1"/>
  <c r="P64" i="36" s="1"/>
  <c r="P65" i="36" s="1"/>
  <c r="I57" i="36"/>
  <c r="I58" i="36" s="1"/>
  <c r="I59" i="36" s="1"/>
  <c r="I60" i="36" s="1"/>
  <c r="I61" i="36" s="1"/>
  <c r="I62" i="36" s="1"/>
  <c r="I63" i="36" s="1"/>
  <c r="I64" i="36" s="1"/>
  <c r="I65" i="36" s="1"/>
  <c r="L57" i="36"/>
  <c r="L58" i="36" s="1"/>
  <c r="L59" i="36" s="1"/>
  <c r="L60" i="36" s="1"/>
  <c r="L61" i="36" s="1"/>
  <c r="L62" i="36" s="1"/>
  <c r="L63" i="36" s="1"/>
  <c r="L64" i="36" s="1"/>
  <c r="L65" i="36" s="1"/>
  <c r="G57" i="36"/>
  <c r="G58" i="36" s="1"/>
  <c r="G59" i="36" s="1"/>
  <c r="G60" i="36" s="1"/>
  <c r="G61" i="36" s="1"/>
  <c r="G62" i="36" s="1"/>
  <c r="G63" i="36" s="1"/>
  <c r="G64" i="36" s="1"/>
  <c r="G65" i="36" s="1"/>
  <c r="C57" i="36"/>
  <c r="C58" i="36" s="1"/>
  <c r="C59" i="36" s="1"/>
  <c r="C60" i="36" s="1"/>
  <c r="C61" i="36" s="1"/>
  <c r="C62" i="36" s="1"/>
  <c r="C63" i="36" s="1"/>
  <c r="C64" i="36" s="1"/>
  <c r="C65" i="36" s="1"/>
  <c r="N58" i="36"/>
  <c r="N59" i="36" s="1"/>
  <c r="N60" i="36" s="1"/>
  <c r="N61" i="36" s="1"/>
  <c r="N62" i="36" s="1"/>
  <c r="N63" i="36" s="1"/>
  <c r="N64" i="36" s="1"/>
  <c r="N65" i="36" s="1"/>
  <c r="E57" i="36"/>
  <c r="E58" i="36" s="1"/>
  <c r="E59" i="36" s="1"/>
  <c r="E60" i="36" s="1"/>
  <c r="E61" i="36" s="1"/>
  <c r="E62" i="36" s="1"/>
  <c r="E63" i="36" s="1"/>
  <c r="E64" i="36" s="1"/>
  <c r="E65" i="36" s="1"/>
  <c r="H7" i="22"/>
  <c r="D48" i="20"/>
  <c r="D52" i="20"/>
  <c r="D47" i="20"/>
  <c r="D51" i="20"/>
  <c r="M14" i="15"/>
  <c r="E58" i="26"/>
  <c r="E59" i="26" s="1"/>
  <c r="E60" i="26" s="1"/>
  <c r="E61" i="26" s="1"/>
  <c r="E62" i="26" s="1"/>
  <c r="E63" i="26" s="1"/>
  <c r="E64" i="26" s="1"/>
  <c r="E65" i="26" s="1"/>
  <c r="E66" i="26" s="1"/>
  <c r="E59" i="20"/>
  <c r="E60" i="20" s="1"/>
  <c r="E61" i="20" s="1"/>
  <c r="E62" i="20" s="1"/>
  <c r="E63" i="20" s="1"/>
  <c r="E64" i="20" s="1"/>
  <c r="E65" i="20" s="1"/>
  <c r="E66" i="20" s="1"/>
  <c r="E67" i="20" s="1"/>
  <c r="S58" i="26"/>
  <c r="S59" i="26" s="1"/>
  <c r="S60" i="26" s="1"/>
  <c r="S61" i="26" s="1"/>
  <c r="S62" i="26" s="1"/>
  <c r="S63" i="26" s="1"/>
  <c r="S64" i="26" s="1"/>
  <c r="S65" i="26" s="1"/>
  <c r="S66" i="26" s="1"/>
  <c r="I21" i="17" s="1"/>
  <c r="L7" i="22" s="1"/>
  <c r="Q58" i="26"/>
  <c r="Q59" i="26" s="1"/>
  <c r="Q60" i="26" s="1"/>
  <c r="Q61" i="26" s="1"/>
  <c r="Q62" i="26" s="1"/>
  <c r="Q63" i="26" s="1"/>
  <c r="Q64" i="26" s="1"/>
  <c r="Q65" i="26" s="1"/>
  <c r="Q66" i="26" s="1"/>
  <c r="J13" i="17" s="1"/>
  <c r="O59" i="26"/>
  <c r="O60" i="26" s="1"/>
  <c r="O61" i="26" s="1"/>
  <c r="O62" i="26" s="1"/>
  <c r="O63" i="26" s="1"/>
  <c r="O64" i="26" s="1"/>
  <c r="O65" i="26" s="1"/>
  <c r="O66" i="26" s="1"/>
  <c r="I13" i="17" s="1"/>
  <c r="J7" i="22" s="1"/>
  <c r="D49" i="20"/>
  <c r="D50" i="20"/>
  <c r="D44" i="20"/>
  <c r="L13" i="15" s="1"/>
  <c r="M13" i="15" s="1"/>
  <c r="U58" i="26"/>
  <c r="U59" i="26" s="1"/>
  <c r="U60" i="26" s="1"/>
  <c r="U61" i="26" s="1"/>
  <c r="D44" i="26"/>
  <c r="E44" i="26" s="1"/>
  <c r="D49" i="26"/>
  <c r="D45" i="26"/>
  <c r="D51" i="26"/>
  <c r="D52" i="26"/>
  <c r="D47" i="26"/>
  <c r="D53" i="26"/>
  <c r="D48" i="26"/>
  <c r="D46" i="26"/>
  <c r="D50" i="26"/>
  <c r="D45" i="20"/>
  <c r="D46" i="20"/>
  <c r="S46" i="20"/>
  <c r="S47" i="20" s="1"/>
  <c r="S48" i="20" s="1"/>
  <c r="S49" i="20" s="1"/>
  <c r="S50" i="20" s="1"/>
  <c r="S51" i="20" s="1"/>
  <c r="S52" i="20" s="1"/>
  <c r="S53" i="20" s="1"/>
  <c r="Q59" i="20"/>
  <c r="Q60" i="20" s="1"/>
  <c r="Q61" i="20" s="1"/>
  <c r="Q62" i="20" s="1"/>
  <c r="Q45" i="20"/>
  <c r="Q46" i="20" s="1"/>
  <c r="Q47" i="20" s="1"/>
  <c r="Q48" i="20" s="1"/>
  <c r="O59" i="20"/>
  <c r="O60" i="20" s="1"/>
  <c r="O61" i="20" s="1"/>
  <c r="O62" i="20" s="1"/>
  <c r="U59" i="20"/>
  <c r="U60" i="20" s="1"/>
  <c r="U61" i="20" s="1"/>
  <c r="U62" i="20" s="1"/>
  <c r="S36" i="20"/>
  <c r="S37" i="20" s="1"/>
  <c r="S38" i="20" s="1"/>
  <c r="S39" i="20" s="1"/>
  <c r="S40" i="20" s="1"/>
  <c r="F19" i="17" s="1"/>
  <c r="U45" i="20"/>
  <c r="U46" i="20" s="1"/>
  <c r="U47" i="20" s="1"/>
  <c r="U48" i="20" s="1"/>
  <c r="O45" i="20"/>
  <c r="O46" i="20" s="1"/>
  <c r="O47" i="20" s="1"/>
  <c r="O48" i="20" s="1"/>
  <c r="U32" i="20"/>
  <c r="U33" i="20" s="1"/>
  <c r="U34" i="20" s="1"/>
  <c r="U35" i="20" s="1"/>
  <c r="S59" i="20"/>
  <c r="S60" i="20" s="1"/>
  <c r="S61" i="20" s="1"/>
  <c r="S62" i="20" s="1"/>
  <c r="O36" i="20"/>
  <c r="O37" i="20" s="1"/>
  <c r="O38" i="20" s="1"/>
  <c r="Q32" i="20"/>
  <c r="Q33" i="20" s="1"/>
  <c r="Q34" i="20" s="1"/>
  <c r="Q35" i="20" s="1"/>
  <c r="K72" i="20"/>
  <c r="K73" i="20" s="1"/>
  <c r="K74" i="20" s="1"/>
  <c r="K75" i="20" s="1"/>
  <c r="K20" i="20"/>
  <c r="K21" i="20" s="1"/>
  <c r="K22" i="20" s="1"/>
  <c r="C22" i="20"/>
  <c r="C23" i="20" s="1"/>
  <c r="C24" i="20" s="1"/>
  <c r="C25" i="20" s="1"/>
  <c r="C26" i="20" s="1"/>
  <c r="C27" i="20" s="1"/>
  <c r="M72" i="20"/>
  <c r="M73" i="20" s="1"/>
  <c r="M74" i="20" s="1"/>
  <c r="M75" i="20" s="1"/>
  <c r="M76" i="20" s="1"/>
  <c r="M77" i="20" s="1"/>
  <c r="M78" i="20" s="1"/>
  <c r="M79" i="20" s="1"/>
  <c r="M80" i="20" s="1"/>
  <c r="I19" i="20"/>
  <c r="I20" i="20" s="1"/>
  <c r="I21" i="20" s="1"/>
  <c r="I22" i="20" s="1"/>
  <c r="I23" i="20" s="1"/>
  <c r="I24" i="20" s="1"/>
  <c r="I25" i="20" s="1"/>
  <c r="I26" i="20" s="1"/>
  <c r="I27" i="20" s="1"/>
  <c r="I72" i="20"/>
  <c r="I73" i="20" s="1"/>
  <c r="I74" i="20" s="1"/>
  <c r="I75" i="20" s="1"/>
  <c r="I76" i="20" s="1"/>
  <c r="I77" i="20" s="1"/>
  <c r="I78" i="20" s="1"/>
  <c r="I79" i="20" s="1"/>
  <c r="I80" i="20" s="1"/>
  <c r="G72" i="20"/>
  <c r="G73" i="20" s="1"/>
  <c r="M19" i="20"/>
  <c r="M20" i="20" s="1"/>
  <c r="M21" i="20" s="1"/>
  <c r="M22" i="20" s="1"/>
  <c r="M23" i="20" s="1"/>
  <c r="M24" i="20" s="1"/>
  <c r="M25" i="20" s="1"/>
  <c r="M26" i="20" s="1"/>
  <c r="M27" i="20" s="1"/>
  <c r="G19" i="20"/>
  <c r="G20" i="20" s="1"/>
  <c r="G21" i="20" s="1"/>
  <c r="G22" i="20" s="1"/>
  <c r="Y59" i="41" l="1"/>
  <c r="Y60" i="41" s="1"/>
  <c r="Y61" i="41" s="1"/>
  <c r="Y62" i="41" s="1"/>
  <c r="Y63" i="41" s="1"/>
  <c r="Y64" i="41" s="1"/>
  <c r="Y65" i="41" s="1"/>
  <c r="Y66" i="41" s="1"/>
  <c r="Y67" i="41" s="1"/>
  <c r="G9" i="45" s="1"/>
  <c r="W59" i="41"/>
  <c r="W60" i="41" s="1"/>
  <c r="W61" i="41" s="1"/>
  <c r="W62" i="41" s="1"/>
  <c r="W63" i="41" s="1"/>
  <c r="W64" i="41" s="1"/>
  <c r="W65" i="41" s="1"/>
  <c r="W66" i="41" s="1"/>
  <c r="W67" i="41" s="1"/>
  <c r="F9" i="45" s="1"/>
  <c r="U59" i="41"/>
  <c r="U60" i="41" s="1"/>
  <c r="U61" i="41" s="1"/>
  <c r="U62" i="41" s="1"/>
  <c r="U63" i="41" s="1"/>
  <c r="U64" i="41" s="1"/>
  <c r="U65" i="41" s="1"/>
  <c r="U66" i="41" s="1"/>
  <c r="U67" i="41" s="1"/>
  <c r="D9" i="45" s="1"/>
  <c r="S59" i="41"/>
  <c r="S60" i="41" s="1"/>
  <c r="S61" i="41" s="1"/>
  <c r="S62" i="41" s="1"/>
  <c r="S63" i="41" s="1"/>
  <c r="S64" i="41" s="1"/>
  <c r="M65" i="43"/>
  <c r="M58" i="43"/>
  <c r="M60" i="43"/>
  <c r="M63" i="43"/>
  <c r="M62" i="43"/>
  <c r="M61" i="43"/>
  <c r="M57" i="43"/>
  <c r="N57" i="43" s="1"/>
  <c r="M59" i="43"/>
  <c r="M64" i="43"/>
  <c r="K60" i="43"/>
  <c r="K62" i="43"/>
  <c r="K57" i="43"/>
  <c r="K59" i="43"/>
  <c r="K56" i="43"/>
  <c r="L56" i="43" s="1"/>
  <c r="K58" i="43"/>
  <c r="K64" i="43"/>
  <c r="K63" i="43"/>
  <c r="K65" i="43"/>
  <c r="K61" i="43"/>
  <c r="S65" i="41"/>
  <c r="S66" i="41" s="1"/>
  <c r="S67" i="41" s="1"/>
  <c r="C9" i="45" s="1"/>
  <c r="E62" i="43"/>
  <c r="E64" i="43"/>
  <c r="E56" i="43"/>
  <c r="F56" i="43" s="1"/>
  <c r="E57" i="43"/>
  <c r="E58" i="43"/>
  <c r="E59" i="43"/>
  <c r="E60" i="43"/>
  <c r="E61" i="43"/>
  <c r="E65" i="43"/>
  <c r="E63" i="43"/>
  <c r="Q12" i="15"/>
  <c r="F11" i="29" s="1"/>
  <c r="H7" i="45"/>
  <c r="G56" i="43"/>
  <c r="H56" i="43" s="1"/>
  <c r="G61" i="43"/>
  <c r="G63" i="43"/>
  <c r="G62" i="43"/>
  <c r="G65" i="43"/>
  <c r="G58" i="43"/>
  <c r="G60" i="43"/>
  <c r="G59" i="43"/>
  <c r="G64" i="43"/>
  <c r="G57" i="43"/>
  <c r="L11" i="44"/>
  <c r="K11" i="44"/>
  <c r="Q17" i="35"/>
  <c r="Q18" i="35" s="1"/>
  <c r="Q19" i="35" s="1"/>
  <c r="Q20" i="35" s="1"/>
  <c r="Q21" i="35" s="1"/>
  <c r="Q22" i="35" s="1"/>
  <c r="Q23" i="35" s="1"/>
  <c r="Q24" i="35" s="1"/>
  <c r="Q25" i="35" s="1"/>
  <c r="P14" i="15"/>
  <c r="Q28" i="20"/>
  <c r="O11" i="15"/>
  <c r="E6" i="45" s="1"/>
  <c r="K5" i="22"/>
  <c r="K23" i="20"/>
  <c r="K24" i="20" s="1"/>
  <c r="K25" i="20" s="1"/>
  <c r="K26" i="20" s="1"/>
  <c r="K27" i="20" s="1"/>
  <c r="U62" i="26"/>
  <c r="U63" i="26" s="1"/>
  <c r="U64" i="26" s="1"/>
  <c r="U65" i="26" s="1"/>
  <c r="U66" i="26" s="1"/>
  <c r="J21" i="17" s="1"/>
  <c r="K21" i="17" s="1"/>
  <c r="K76" i="20"/>
  <c r="K77" i="20" s="1"/>
  <c r="K78" i="20" s="1"/>
  <c r="K79" i="20" s="1"/>
  <c r="K80" i="20" s="1"/>
  <c r="K13" i="17"/>
  <c r="G23" i="20"/>
  <c r="G24" i="20" s="1"/>
  <c r="G25" i="20" s="1"/>
  <c r="G26" i="20" s="1"/>
  <c r="G27" i="20" s="1"/>
  <c r="G74" i="20"/>
  <c r="G75" i="20" s="1"/>
  <c r="E45" i="26"/>
  <c r="E46" i="26" s="1"/>
  <c r="E47" i="26" s="1"/>
  <c r="E48" i="26" s="1"/>
  <c r="E49" i="26" s="1"/>
  <c r="E50" i="26" s="1"/>
  <c r="E51" i="26" s="1"/>
  <c r="E52" i="26" s="1"/>
  <c r="E53" i="26" s="1"/>
  <c r="E44" i="20"/>
  <c r="E45" i="20" s="1"/>
  <c r="E46" i="20" s="1"/>
  <c r="E47" i="20" s="1"/>
  <c r="E48" i="20" s="1"/>
  <c r="E49" i="20" s="1"/>
  <c r="E50" i="20" s="1"/>
  <c r="E51" i="20" s="1"/>
  <c r="E52" i="20" s="1"/>
  <c r="E53" i="20" s="1"/>
  <c r="J40" i="20"/>
  <c r="O39" i="20"/>
  <c r="O40" i="20" s="1"/>
  <c r="F11" i="17" s="1"/>
  <c r="F20" i="17"/>
  <c r="S63" i="20"/>
  <c r="S64" i="20" s="1"/>
  <c r="S65" i="20" s="1"/>
  <c r="S66" i="20" s="1"/>
  <c r="S67" i="20" s="1"/>
  <c r="F21" i="17" s="1"/>
  <c r="O49" i="20"/>
  <c r="O50" i="20" s="1"/>
  <c r="O51" i="20" s="1"/>
  <c r="O52" i="20" s="1"/>
  <c r="O53" i="20" s="1"/>
  <c r="F12" i="17" s="1"/>
  <c r="Q63" i="20"/>
  <c r="Q64" i="20" s="1"/>
  <c r="Q65" i="20" s="1"/>
  <c r="Q66" i="20" s="1"/>
  <c r="Q67" i="20" s="1"/>
  <c r="G13" i="17" s="1"/>
  <c r="Q49" i="20"/>
  <c r="Q50" i="20" s="1"/>
  <c r="Q51" i="20" s="1"/>
  <c r="Q52" i="20" s="1"/>
  <c r="Q53" i="20" s="1"/>
  <c r="G12" i="17" s="1"/>
  <c r="Q36" i="20"/>
  <c r="Q37" i="20" s="1"/>
  <c r="Q38" i="20" s="1"/>
  <c r="Q39" i="20" s="1"/>
  <c r="Q40" i="20" s="1"/>
  <c r="G11" i="17" s="1"/>
  <c r="U36" i="20"/>
  <c r="U37" i="20" s="1"/>
  <c r="U38" i="20" s="1"/>
  <c r="U39" i="20" s="1"/>
  <c r="U40" i="20" s="1"/>
  <c r="G19" i="17" s="1"/>
  <c r="U49" i="20"/>
  <c r="U50" i="20" s="1"/>
  <c r="U51" i="20" s="1"/>
  <c r="U52" i="20" s="1"/>
  <c r="U53" i="20" s="1"/>
  <c r="G20" i="17" s="1"/>
  <c r="O63" i="20"/>
  <c r="O64" i="20" s="1"/>
  <c r="O65" i="20" s="1"/>
  <c r="O66" i="20" s="1"/>
  <c r="O67" i="20" s="1"/>
  <c r="F13" i="17" s="1"/>
  <c r="U63" i="20"/>
  <c r="U64" i="20" s="1"/>
  <c r="U65" i="20" s="1"/>
  <c r="U66" i="20" s="1"/>
  <c r="U67" i="20" s="1"/>
  <c r="G21" i="17" s="1"/>
  <c r="K11" i="42" l="1"/>
  <c r="L11" i="27"/>
  <c r="H11" i="27"/>
  <c r="J11" i="29"/>
  <c r="F10" i="27"/>
  <c r="E10" i="27"/>
  <c r="L11" i="42"/>
  <c r="N58" i="43"/>
  <c r="Q14" i="15"/>
  <c r="H9" i="45"/>
  <c r="F57" i="43"/>
  <c r="F58" i="43" s="1"/>
  <c r="F59" i="43" s="1"/>
  <c r="F60" i="43" s="1"/>
  <c r="F61" i="43" s="1"/>
  <c r="F62" i="43" s="1"/>
  <c r="F63" i="43" s="1"/>
  <c r="F64" i="43" s="1"/>
  <c r="F65" i="43" s="1"/>
  <c r="N59" i="43"/>
  <c r="N60" i="43" s="1"/>
  <c r="N61" i="43" s="1"/>
  <c r="N62" i="43" s="1"/>
  <c r="N63" i="43" s="1"/>
  <c r="N64" i="43" s="1"/>
  <c r="N65" i="43" s="1"/>
  <c r="L57" i="43"/>
  <c r="L58" i="43" s="1"/>
  <c r="L59" i="43" s="1"/>
  <c r="L60" i="43" s="1"/>
  <c r="L61" i="43" s="1"/>
  <c r="L62" i="43" s="1"/>
  <c r="L63" i="43" s="1"/>
  <c r="L64" i="43" s="1"/>
  <c r="L65" i="43" s="1"/>
  <c r="H57" i="43"/>
  <c r="H58" i="43" s="1"/>
  <c r="H59" i="43" s="1"/>
  <c r="H60" i="43" s="1"/>
  <c r="H61" i="43" s="1"/>
  <c r="H62" i="43" s="1"/>
  <c r="H63" i="43" s="1"/>
  <c r="H64" i="43" s="1"/>
  <c r="H65" i="43" s="1"/>
  <c r="J10" i="44"/>
  <c r="I10" i="44"/>
  <c r="I10" i="42"/>
  <c r="J10" i="42"/>
  <c r="P13" i="15"/>
  <c r="I14" i="27"/>
  <c r="J14" i="27"/>
  <c r="I7" i="22"/>
  <c r="K6" i="22"/>
  <c r="I5" i="22"/>
  <c r="J10" i="27"/>
  <c r="I10" i="27"/>
  <c r="H4" i="22"/>
  <c r="I6" i="22"/>
  <c r="K7" i="22"/>
  <c r="G14" i="29"/>
  <c r="H14" i="29"/>
  <c r="C10" i="29"/>
  <c r="Q11" i="15"/>
  <c r="D10" i="29"/>
  <c r="G10" i="29"/>
  <c r="H10" i="29"/>
  <c r="H11" i="17"/>
  <c r="G11" i="27" s="1"/>
  <c r="H12" i="17"/>
  <c r="G76" i="20"/>
  <c r="G77" i="20" s="1"/>
  <c r="G78" i="20" s="1"/>
  <c r="G79" i="20" s="1"/>
  <c r="G80" i="20" s="1"/>
  <c r="E14" i="27" s="1"/>
  <c r="H21" i="17"/>
  <c r="H20" i="17"/>
  <c r="H19" i="17"/>
  <c r="K11" i="27" s="1"/>
  <c r="H13" i="17"/>
  <c r="G13" i="27" s="1"/>
  <c r="J32" i="20"/>
  <c r="J36" i="20"/>
  <c r="J33" i="20"/>
  <c r="J37" i="20"/>
  <c r="J34" i="20"/>
  <c r="J35" i="20"/>
  <c r="J31" i="20"/>
  <c r="K31" i="20" s="1"/>
  <c r="J38" i="20"/>
  <c r="J39" i="20"/>
  <c r="L36" i="20"/>
  <c r="H48" i="20"/>
  <c r="J50" i="20"/>
  <c r="L59" i="20"/>
  <c r="H36" i="20"/>
  <c r="H61" i="20"/>
  <c r="F39" i="26"/>
  <c r="F33" i="26"/>
  <c r="F32" i="26"/>
  <c r="F37" i="26"/>
  <c r="F38" i="26"/>
  <c r="F40" i="26"/>
  <c r="F36" i="26"/>
  <c r="F35" i="26"/>
  <c r="F34" i="26"/>
  <c r="F31" i="26"/>
  <c r="G31" i="26" s="1"/>
  <c r="F63" i="20"/>
  <c r="F52" i="20"/>
  <c r="J36" i="26"/>
  <c r="J35" i="26"/>
  <c r="J34" i="26"/>
  <c r="J38" i="26"/>
  <c r="J32" i="26"/>
  <c r="J31" i="26"/>
  <c r="K31" i="26" s="1"/>
  <c r="J40" i="26"/>
  <c r="J37" i="26"/>
  <c r="J39" i="26"/>
  <c r="J33" i="26"/>
  <c r="L44" i="20"/>
  <c r="M44" i="20" s="1"/>
  <c r="J61" i="20"/>
  <c r="F34" i="20"/>
  <c r="L10" i="27" l="1"/>
  <c r="K10" i="27"/>
  <c r="H10" i="27"/>
  <c r="G10" i="27"/>
  <c r="J13" i="29"/>
  <c r="L13" i="27"/>
  <c r="K13" i="27"/>
  <c r="H13" i="27"/>
  <c r="F13" i="42"/>
  <c r="F13" i="44"/>
  <c r="J13" i="44" s="1"/>
  <c r="C13" i="42"/>
  <c r="I13" i="42" s="1"/>
  <c r="C13" i="44"/>
  <c r="I13" i="44" s="1"/>
  <c r="G13" i="42"/>
  <c r="G13" i="44"/>
  <c r="F13" i="29"/>
  <c r="Q13" i="15"/>
  <c r="L12" i="42" s="1"/>
  <c r="H8" i="45"/>
  <c r="D13" i="42"/>
  <c r="D13" i="44"/>
  <c r="K10" i="44"/>
  <c r="L10" i="44"/>
  <c r="K10" i="42"/>
  <c r="L10" i="42"/>
  <c r="L12" i="44"/>
  <c r="I13" i="29"/>
  <c r="I10" i="29"/>
  <c r="J10" i="29"/>
  <c r="I11" i="29"/>
  <c r="I12" i="29"/>
  <c r="J12" i="29"/>
  <c r="C14" i="29"/>
  <c r="F10" i="29"/>
  <c r="E10" i="29"/>
  <c r="E13" i="29"/>
  <c r="E11" i="29"/>
  <c r="E12" i="29"/>
  <c r="K32" i="20"/>
  <c r="K33" i="20" s="1"/>
  <c r="K34" i="20" s="1"/>
  <c r="K35" i="20" s="1"/>
  <c r="L35" i="20"/>
  <c r="H50" i="20"/>
  <c r="L66" i="20"/>
  <c r="H58" i="20"/>
  <c r="I58" i="20" s="1"/>
  <c r="F50" i="20"/>
  <c r="H33" i="20"/>
  <c r="L47" i="20"/>
  <c r="L39" i="20"/>
  <c r="F44" i="20"/>
  <c r="G44" i="20" s="1"/>
  <c r="H38" i="20"/>
  <c r="J59" i="20"/>
  <c r="J46" i="20"/>
  <c r="H32" i="20"/>
  <c r="J58" i="20"/>
  <c r="K58" i="20" s="1"/>
  <c r="F48" i="20"/>
  <c r="H35" i="20"/>
  <c r="J60" i="20"/>
  <c r="L38" i="20"/>
  <c r="J49" i="20"/>
  <c r="F53" i="20"/>
  <c r="H53" i="20"/>
  <c r="H37" i="20"/>
  <c r="J63" i="20"/>
  <c r="J67" i="20"/>
  <c r="L37" i="20"/>
  <c r="J53" i="20"/>
  <c r="F49" i="20"/>
  <c r="L33" i="20"/>
  <c r="J48" i="20"/>
  <c r="H65" i="20"/>
  <c r="L58" i="20"/>
  <c r="M58" i="20" s="1"/>
  <c r="M59" i="20" s="1"/>
  <c r="H45" i="20"/>
  <c r="L49" i="20"/>
  <c r="L64" i="20"/>
  <c r="F66" i="20"/>
  <c r="F61" i="20"/>
  <c r="F46" i="20"/>
  <c r="F47" i="20"/>
  <c r="H63" i="20"/>
  <c r="H67" i="20"/>
  <c r="H46" i="20"/>
  <c r="H34" i="20"/>
  <c r="H31" i="20"/>
  <c r="I31" i="20" s="1"/>
  <c r="L53" i="20"/>
  <c r="L46" i="20"/>
  <c r="L63" i="20"/>
  <c r="J62" i="20"/>
  <c r="J65" i="20"/>
  <c r="L34" i="20"/>
  <c r="L40" i="20"/>
  <c r="L32" i="20"/>
  <c r="F67" i="20"/>
  <c r="J51" i="20"/>
  <c r="J45" i="20"/>
  <c r="J52" i="20"/>
  <c r="K32" i="26"/>
  <c r="K33" i="26" s="1"/>
  <c r="K34" i="26" s="1"/>
  <c r="K35" i="26" s="1"/>
  <c r="K36" i="26" s="1"/>
  <c r="K37" i="26" s="1"/>
  <c r="K38" i="26" s="1"/>
  <c r="K39" i="26" s="1"/>
  <c r="K40" i="26" s="1"/>
  <c r="F45" i="20"/>
  <c r="F51" i="20"/>
  <c r="H66" i="20"/>
  <c r="H44" i="20"/>
  <c r="I44" i="20" s="1"/>
  <c r="H39" i="20"/>
  <c r="H40" i="20"/>
  <c r="L51" i="20"/>
  <c r="L60" i="20"/>
  <c r="J66" i="20"/>
  <c r="J64" i="20"/>
  <c r="L31" i="20"/>
  <c r="M31" i="20" s="1"/>
  <c r="F62" i="20"/>
  <c r="F59" i="20"/>
  <c r="J47" i="20"/>
  <c r="J44" i="20"/>
  <c r="K44" i="20" s="1"/>
  <c r="H59" i="20"/>
  <c r="H60" i="20"/>
  <c r="H47" i="20"/>
  <c r="H49" i="20"/>
  <c r="H51" i="20"/>
  <c r="L48" i="20"/>
  <c r="L50" i="20"/>
  <c r="L52" i="20"/>
  <c r="L62" i="20"/>
  <c r="L65" i="20"/>
  <c r="F65" i="20"/>
  <c r="F58" i="20"/>
  <c r="G58" i="20" s="1"/>
  <c r="F64" i="20"/>
  <c r="G32" i="26"/>
  <c r="G33" i="26" s="1"/>
  <c r="G34" i="26" s="1"/>
  <c r="G35" i="26" s="1"/>
  <c r="H62" i="20"/>
  <c r="H64" i="20"/>
  <c r="H52" i="20"/>
  <c r="L45" i="20"/>
  <c r="M45" i="20" s="1"/>
  <c r="L61" i="20"/>
  <c r="L67" i="20"/>
  <c r="F60" i="20"/>
  <c r="F61" i="26"/>
  <c r="F58" i="26"/>
  <c r="F66" i="26"/>
  <c r="F57" i="26"/>
  <c r="G57" i="26" s="1"/>
  <c r="F63" i="26"/>
  <c r="F60" i="26"/>
  <c r="F62" i="26"/>
  <c r="F65" i="26"/>
  <c r="F59" i="26"/>
  <c r="F64" i="26"/>
  <c r="H50" i="26"/>
  <c r="H47" i="26"/>
  <c r="H46" i="26"/>
  <c r="H44" i="26"/>
  <c r="I44" i="26" s="1"/>
  <c r="H53" i="26"/>
  <c r="H45" i="26"/>
  <c r="H49" i="26"/>
  <c r="H52" i="26"/>
  <c r="H51" i="26"/>
  <c r="H48" i="26"/>
  <c r="J66" i="26"/>
  <c r="J58" i="26"/>
  <c r="J63" i="26"/>
  <c r="J64" i="26"/>
  <c r="J60" i="26"/>
  <c r="J65" i="26"/>
  <c r="J62" i="26"/>
  <c r="J57" i="26"/>
  <c r="K57" i="26" s="1"/>
  <c r="J61" i="26"/>
  <c r="J59" i="26"/>
  <c r="F53" i="26"/>
  <c r="F45" i="26"/>
  <c r="F48" i="26"/>
  <c r="F50" i="26"/>
  <c r="F47" i="26"/>
  <c r="F44" i="26"/>
  <c r="G44" i="26" s="1"/>
  <c r="F52" i="26"/>
  <c r="F49" i="26"/>
  <c r="F46" i="26"/>
  <c r="F51" i="26"/>
  <c r="H40" i="26"/>
  <c r="H36" i="26"/>
  <c r="H35" i="26"/>
  <c r="H38" i="26"/>
  <c r="H34" i="26"/>
  <c r="H31" i="26"/>
  <c r="I31" i="26" s="1"/>
  <c r="H37" i="26"/>
  <c r="H32" i="26"/>
  <c r="H39" i="26"/>
  <c r="H33" i="26"/>
  <c r="J53" i="26"/>
  <c r="J49" i="26"/>
  <c r="J50" i="26"/>
  <c r="J44" i="26"/>
  <c r="K44" i="26" s="1"/>
  <c r="J52" i="26"/>
  <c r="J51" i="26"/>
  <c r="J46" i="26"/>
  <c r="J45" i="26"/>
  <c r="J47" i="26"/>
  <c r="J48" i="26"/>
  <c r="L37" i="26"/>
  <c r="L35" i="26"/>
  <c r="L36" i="26"/>
  <c r="L39" i="26"/>
  <c r="L34" i="26"/>
  <c r="L31" i="26"/>
  <c r="M31" i="26" s="1"/>
  <c r="L33" i="26"/>
  <c r="L38" i="26"/>
  <c r="L32" i="26"/>
  <c r="L40" i="26"/>
  <c r="H58" i="26"/>
  <c r="H59" i="26"/>
  <c r="H57" i="26"/>
  <c r="I57" i="26" s="1"/>
  <c r="H64" i="26"/>
  <c r="H60" i="26"/>
  <c r="H61" i="26"/>
  <c r="H62" i="26"/>
  <c r="H66" i="26"/>
  <c r="H65" i="26"/>
  <c r="H63" i="26"/>
  <c r="L51" i="26"/>
  <c r="L46" i="26"/>
  <c r="L47" i="26"/>
  <c r="L53" i="26"/>
  <c r="L49" i="26"/>
  <c r="L50" i="26"/>
  <c r="L48" i="26"/>
  <c r="L52" i="26"/>
  <c r="L45" i="26"/>
  <c r="L44" i="26"/>
  <c r="M44" i="26" s="1"/>
  <c r="L65" i="26"/>
  <c r="L59" i="26"/>
  <c r="L66" i="26"/>
  <c r="L61" i="26"/>
  <c r="L57" i="26"/>
  <c r="M57" i="26" s="1"/>
  <c r="L58" i="26"/>
  <c r="L63" i="26"/>
  <c r="L64" i="26"/>
  <c r="L62" i="26"/>
  <c r="L60" i="26"/>
  <c r="F33" i="20"/>
  <c r="F35" i="20"/>
  <c r="F31" i="20"/>
  <c r="G31" i="20" s="1"/>
  <c r="F39" i="20"/>
  <c r="F38" i="20"/>
  <c r="F40" i="20"/>
  <c r="F32" i="20"/>
  <c r="F37" i="20"/>
  <c r="F36" i="20"/>
  <c r="K12" i="44" l="1"/>
  <c r="K12" i="42"/>
  <c r="E13" i="44"/>
  <c r="K13" i="44" s="1"/>
  <c r="F12" i="29"/>
  <c r="E13" i="42"/>
  <c r="K13" i="42" s="1"/>
  <c r="L12" i="27"/>
  <c r="K12" i="27"/>
  <c r="H12" i="27"/>
  <c r="G12" i="27"/>
  <c r="G45" i="26"/>
  <c r="G46" i="26" s="1"/>
  <c r="H13" i="44"/>
  <c r="L13" i="44" s="1"/>
  <c r="H13" i="42"/>
  <c r="L13" i="42" s="1"/>
  <c r="J13" i="42"/>
  <c r="K36" i="20"/>
  <c r="K37" i="20" s="1"/>
  <c r="K38" i="20" s="1"/>
  <c r="K39" i="20" s="1"/>
  <c r="K40" i="20" s="1"/>
  <c r="G11" i="29" s="1"/>
  <c r="G36" i="26"/>
  <c r="G37" i="26" s="1"/>
  <c r="G38" i="26" s="1"/>
  <c r="G39" i="26" s="1"/>
  <c r="G40" i="26" s="1"/>
  <c r="F11" i="27" s="1"/>
  <c r="K59" i="20"/>
  <c r="K60" i="20" s="1"/>
  <c r="K61" i="20" s="1"/>
  <c r="K62" i="20" s="1"/>
  <c r="G45" i="20"/>
  <c r="G46" i="20" s="1"/>
  <c r="G47" i="20" s="1"/>
  <c r="G48" i="20" s="1"/>
  <c r="I45" i="20"/>
  <c r="I46" i="20" s="1"/>
  <c r="I47" i="20" s="1"/>
  <c r="I48" i="20" s="1"/>
  <c r="I49" i="20" s="1"/>
  <c r="I50" i="20" s="1"/>
  <c r="I51" i="20" s="1"/>
  <c r="I52" i="20" s="1"/>
  <c r="I53" i="20" s="1"/>
  <c r="I59" i="20"/>
  <c r="I60" i="20" s="1"/>
  <c r="I61" i="20" s="1"/>
  <c r="I62" i="20" s="1"/>
  <c r="I63" i="20" s="1"/>
  <c r="I64" i="20" s="1"/>
  <c r="I65" i="20" s="1"/>
  <c r="I66" i="20" s="1"/>
  <c r="I67" i="20" s="1"/>
  <c r="M32" i="20"/>
  <c r="M33" i="20" s="1"/>
  <c r="M34" i="20" s="1"/>
  <c r="M35" i="20" s="1"/>
  <c r="M36" i="20" s="1"/>
  <c r="M37" i="20" s="1"/>
  <c r="M38" i="20" s="1"/>
  <c r="M39" i="20" s="1"/>
  <c r="M40" i="20" s="1"/>
  <c r="G59" i="20"/>
  <c r="G60" i="20" s="1"/>
  <c r="K45" i="20"/>
  <c r="K46" i="20" s="1"/>
  <c r="K47" i="20" s="1"/>
  <c r="K48" i="20" s="1"/>
  <c r="I32" i="20"/>
  <c r="I33" i="20" s="1"/>
  <c r="I34" i="20" s="1"/>
  <c r="I35" i="20" s="1"/>
  <c r="I36" i="20" s="1"/>
  <c r="I37" i="20" s="1"/>
  <c r="I38" i="20" s="1"/>
  <c r="I39" i="20" s="1"/>
  <c r="I40" i="20" s="1"/>
  <c r="M60" i="20"/>
  <c r="M61" i="20" s="1"/>
  <c r="M62" i="20" s="1"/>
  <c r="M63" i="20" s="1"/>
  <c r="M64" i="20" s="1"/>
  <c r="M65" i="20" s="1"/>
  <c r="M66" i="20" s="1"/>
  <c r="M67" i="20" s="1"/>
  <c r="M46" i="20"/>
  <c r="M47" i="20" s="1"/>
  <c r="M48" i="20" s="1"/>
  <c r="M49" i="20" s="1"/>
  <c r="M50" i="20" s="1"/>
  <c r="M51" i="20" s="1"/>
  <c r="M52" i="20" s="1"/>
  <c r="M53" i="20" s="1"/>
  <c r="M58" i="26"/>
  <c r="M59" i="26" s="1"/>
  <c r="M60" i="26" s="1"/>
  <c r="M61" i="26" s="1"/>
  <c r="M62" i="26" s="1"/>
  <c r="M63" i="26" s="1"/>
  <c r="M64" i="26" s="1"/>
  <c r="M65" i="26" s="1"/>
  <c r="M66" i="26" s="1"/>
  <c r="K58" i="26"/>
  <c r="K59" i="26" s="1"/>
  <c r="K60" i="26" s="1"/>
  <c r="K61" i="26" s="1"/>
  <c r="K62" i="26" s="1"/>
  <c r="K63" i="26" s="1"/>
  <c r="K64" i="26" s="1"/>
  <c r="K65" i="26" s="1"/>
  <c r="K66" i="26" s="1"/>
  <c r="G58" i="26"/>
  <c r="G59" i="26" s="1"/>
  <c r="G60" i="26" s="1"/>
  <c r="G61" i="26" s="1"/>
  <c r="I32" i="26"/>
  <c r="I33" i="26" s="1"/>
  <c r="I34" i="26" s="1"/>
  <c r="I35" i="26" s="1"/>
  <c r="I36" i="26" s="1"/>
  <c r="I37" i="26" s="1"/>
  <c r="I38" i="26" s="1"/>
  <c r="I39" i="26" s="1"/>
  <c r="I40" i="26" s="1"/>
  <c r="M45" i="26"/>
  <c r="M46" i="26" s="1"/>
  <c r="M47" i="26" s="1"/>
  <c r="M48" i="26" s="1"/>
  <c r="M49" i="26" s="1"/>
  <c r="M50" i="26" s="1"/>
  <c r="M51" i="26" s="1"/>
  <c r="M52" i="26" s="1"/>
  <c r="M53" i="26" s="1"/>
  <c r="M32" i="26"/>
  <c r="M33" i="26" s="1"/>
  <c r="M34" i="26" s="1"/>
  <c r="M35" i="26" s="1"/>
  <c r="M36" i="26" s="1"/>
  <c r="M37" i="26" s="1"/>
  <c r="M38" i="26" s="1"/>
  <c r="M39" i="26" s="1"/>
  <c r="M40" i="26" s="1"/>
  <c r="K45" i="26"/>
  <c r="K46" i="26" s="1"/>
  <c r="K47" i="26" s="1"/>
  <c r="K48" i="26" s="1"/>
  <c r="K49" i="26" s="1"/>
  <c r="K50" i="26" s="1"/>
  <c r="K51" i="26" s="1"/>
  <c r="K52" i="26" s="1"/>
  <c r="K53" i="26" s="1"/>
  <c r="I58" i="26"/>
  <c r="I59" i="26" s="1"/>
  <c r="I60" i="26" s="1"/>
  <c r="I61" i="26" s="1"/>
  <c r="I62" i="26" s="1"/>
  <c r="I63" i="26" s="1"/>
  <c r="I64" i="26" s="1"/>
  <c r="I65" i="26" s="1"/>
  <c r="I66" i="26" s="1"/>
  <c r="I45" i="26"/>
  <c r="I46" i="26" s="1"/>
  <c r="I47" i="26" s="1"/>
  <c r="I48" i="26" s="1"/>
  <c r="I49" i="26" s="1"/>
  <c r="I50" i="26" s="1"/>
  <c r="I51" i="26" s="1"/>
  <c r="I52" i="26" s="1"/>
  <c r="I53" i="26" s="1"/>
  <c r="G32" i="20"/>
  <c r="G33" i="20" s="1"/>
  <c r="D11" i="29" l="1"/>
  <c r="H11" i="29"/>
  <c r="J11" i="27"/>
  <c r="I11" i="27"/>
  <c r="K63" i="20"/>
  <c r="K64" i="20" s="1"/>
  <c r="K65" i="20" s="1"/>
  <c r="K66" i="20" s="1"/>
  <c r="K67" i="20" s="1"/>
  <c r="K49" i="20"/>
  <c r="K50" i="20" s="1"/>
  <c r="K51" i="20" s="1"/>
  <c r="K52" i="20" s="1"/>
  <c r="K53" i="20" s="1"/>
  <c r="G62" i="26"/>
  <c r="G63" i="26" s="1"/>
  <c r="G64" i="26" s="1"/>
  <c r="G65" i="26" s="1"/>
  <c r="G66" i="26" s="1"/>
  <c r="F13" i="27" s="1"/>
  <c r="G49" i="20"/>
  <c r="G50" i="20" s="1"/>
  <c r="G51" i="20" s="1"/>
  <c r="G52" i="20" s="1"/>
  <c r="G53" i="20" s="1"/>
  <c r="E12" i="27" s="1"/>
  <c r="G34" i="20"/>
  <c r="G35" i="20" s="1"/>
  <c r="G47" i="26"/>
  <c r="G48" i="26" s="1"/>
  <c r="G61" i="20"/>
  <c r="G62" i="20" s="1"/>
  <c r="C12" i="29" l="1"/>
  <c r="J12" i="27"/>
  <c r="I12" i="27"/>
  <c r="G13" i="29"/>
  <c r="J13" i="27"/>
  <c r="I13" i="27"/>
  <c r="D13" i="29"/>
  <c r="G12" i="29"/>
  <c r="H13" i="29"/>
  <c r="H12" i="29"/>
  <c r="G49" i="26"/>
  <c r="G50" i="26" s="1"/>
  <c r="G51" i="26" s="1"/>
  <c r="G52" i="26" s="1"/>
  <c r="G53" i="26" s="1"/>
  <c r="F12" i="27" s="1"/>
  <c r="G36" i="20"/>
  <c r="G37" i="20" s="1"/>
  <c r="G38" i="20" s="1"/>
  <c r="G39" i="20" s="1"/>
  <c r="G40" i="20" s="1"/>
  <c r="E11" i="27" s="1"/>
  <c r="G63" i="20"/>
  <c r="G64" i="20" s="1"/>
  <c r="G65" i="20" s="1"/>
  <c r="G66" i="20" s="1"/>
  <c r="G67" i="20" s="1"/>
  <c r="E13" i="27" s="1"/>
  <c r="C13" i="29" l="1"/>
  <c r="C11" i="29"/>
  <c r="D12" i="29"/>
</calcChain>
</file>

<file path=xl/sharedStrings.xml><?xml version="1.0" encoding="utf-8"?>
<sst xmlns="http://schemas.openxmlformats.org/spreadsheetml/2006/main" count="1225" uniqueCount="482">
  <si>
    <t>Water Fluoridation</t>
  </si>
  <si>
    <t>Age groups</t>
  </si>
  <si>
    <t>Number of people</t>
  </si>
  <si>
    <t>Dental Sealants</t>
  </si>
  <si>
    <t>Effectiveness (%)</t>
  </si>
  <si>
    <t>Age Group</t>
  </si>
  <si>
    <t>Total</t>
  </si>
  <si>
    <t xml:space="preserve"> POPULATION</t>
  </si>
  <si>
    <t>Initial Exam</t>
  </si>
  <si>
    <t>Current Population Coverage*</t>
  </si>
  <si>
    <t>Current Population Coverage</t>
  </si>
  <si>
    <t>Ideal Population Coverage</t>
  </si>
  <si>
    <t xml:space="preserve"> Current Population Coverage</t>
  </si>
  <si>
    <t>Cost per child</t>
  </si>
  <si>
    <t>Intervention Type</t>
  </si>
  <si>
    <t>Discounting Rate</t>
  </si>
  <si>
    <t>Time Frame (yrs)</t>
  </si>
  <si>
    <t>Number of Caries</t>
  </si>
  <si>
    <t>Number of Procedures Requiring General Anesthesia</t>
  </si>
  <si>
    <t>Toothbrush</t>
  </si>
  <si>
    <t>Toothpaste</t>
  </si>
  <si>
    <t>SUMMARY RESULTS: INTERVENTION COSTS</t>
  </si>
  <si>
    <t>6 - 60 months</t>
  </si>
  <si>
    <t xml:space="preserve">                                   </t>
  </si>
  <si>
    <t>Annual Cost per village</t>
  </si>
  <si>
    <t>N/A</t>
  </si>
  <si>
    <t>INTERVENTIONS' EFFECTIVENESS</t>
  </si>
  <si>
    <t>Total Start-up Costs</t>
  </si>
  <si>
    <r>
      <t>Installation</t>
    </r>
    <r>
      <rPr>
        <b/>
        <vertAlign val="superscript"/>
        <sz val="12"/>
        <color theme="1"/>
        <rFont val="Calibri"/>
        <family val="2"/>
        <scheme val="minor"/>
      </rPr>
      <t>+</t>
    </r>
  </si>
  <si>
    <t xml:space="preserve">Travel                         </t>
  </si>
  <si>
    <t>Total Annual Cost per Village</t>
  </si>
  <si>
    <t>Start-up Costs per Village</t>
  </si>
  <si>
    <t>TOTAL</t>
  </si>
  <si>
    <t>Rate</t>
  </si>
  <si>
    <t>Time</t>
  </si>
  <si>
    <r>
      <t>Operator's Salary</t>
    </r>
    <r>
      <rPr>
        <b/>
        <vertAlign val="superscript"/>
        <sz val="12"/>
        <color theme="1"/>
        <rFont val="Calibri"/>
        <family val="2"/>
        <scheme val="minor"/>
      </rPr>
      <t>+</t>
    </r>
  </si>
  <si>
    <r>
      <t>Annual Renewal</t>
    </r>
    <r>
      <rPr>
        <b/>
        <vertAlign val="superscript"/>
        <sz val="12"/>
        <color theme="1"/>
        <rFont val="Calibri"/>
        <family val="2"/>
        <scheme val="minor"/>
      </rPr>
      <t>+</t>
    </r>
  </si>
  <si>
    <r>
      <t xml:space="preserve">Total Ideal  Annual Cost </t>
    </r>
    <r>
      <rPr>
        <b/>
        <i/>
        <sz val="12"/>
        <color theme="1"/>
        <rFont val="Calibri"/>
        <family val="2"/>
        <scheme val="minor"/>
      </rPr>
      <t/>
    </r>
  </si>
  <si>
    <t xml:space="preserve">Total Current Annual Cost </t>
  </si>
  <si>
    <t xml:space="preserve">Total Ideal  Annual Cost </t>
  </si>
  <si>
    <t>Charisma Y Atkins, MPH CDC/NCEZID/DPEI</t>
  </si>
  <si>
    <t>Dane Lenaker, DMD/DDS, Yukon-Kushokwim Health Consortium (YKHC)</t>
  </si>
  <si>
    <t>Annual Cost of Intervention</t>
  </si>
  <si>
    <t>Annual Cost of Varnish INT</t>
  </si>
  <si>
    <t>Annual Cost of Sealant INT</t>
  </si>
  <si>
    <t xml:space="preserve">Total Annual Cost of Flouridation </t>
  </si>
  <si>
    <t>Annual Exam Costs</t>
  </si>
  <si>
    <t>Annual Village Cost</t>
  </si>
  <si>
    <t>Toothbrush/Toothpaste</t>
  </si>
  <si>
    <t>Discounted Total Cost</t>
  </si>
  <si>
    <t xml:space="preserve"> Current Cost of Intervention</t>
  </si>
  <si>
    <t xml:space="preserve"> Ideal Cost of Intervention</t>
  </si>
  <si>
    <t>Number of Villages Included*</t>
  </si>
  <si>
    <t xml:space="preserve">      Maternal Child Health Journal; Vol 12 2008: 64-67.</t>
  </si>
  <si>
    <t>Fluoride Varnish</t>
  </si>
  <si>
    <t>Current INT $</t>
  </si>
  <si>
    <t>Ideal INT $</t>
  </si>
  <si>
    <t>Total Current $</t>
  </si>
  <si>
    <t>Years</t>
  </si>
  <si>
    <t>Total Ideal $</t>
  </si>
  <si>
    <t>PV= $/(1+rate)^year</t>
  </si>
  <si>
    <t>Cumulative</t>
  </si>
  <si>
    <t>Discounted Cost Prevented ($)</t>
  </si>
  <si>
    <t>Current Carie</t>
  </si>
  <si>
    <t>Ideal Carie</t>
  </si>
  <si>
    <t>Current Proc</t>
  </si>
  <si>
    <t>Ideal Proc</t>
  </si>
  <si>
    <t>Cumulat</t>
  </si>
  <si>
    <t>Estimated Annual Cost of Ideal Coverage</t>
  </si>
  <si>
    <t>Ideal Annual Population Coverage Cost</t>
  </si>
  <si>
    <t>Current Annual Population Coverage Cost</t>
  </si>
  <si>
    <t>Current Annual Population Covered</t>
  </si>
  <si>
    <t>Ideal Annual Population Covered</t>
  </si>
  <si>
    <t>Start-up Costs</t>
  </si>
  <si>
    <t>Discounted Intervention Cost</t>
  </si>
  <si>
    <t>Curent First Year Cost of Intervention</t>
  </si>
  <si>
    <t>Ideal First Year Cost of Intervention</t>
  </si>
  <si>
    <t>Joseph Klejka, MD, Yukon-Kushokwim Health Consortium (YKHC)</t>
  </si>
  <si>
    <t>*YK Region consist of 48 villages as provided by Jennifer Dobson Report on Water Fluoridation in the ANTHC, whereas MMWR reports a total of 52 villages in YK Region</t>
  </si>
  <si>
    <t xml:space="preserve">   fluoridation report, but MMWR Alaska report states that YK Region consists of 52 villages.</t>
  </si>
  <si>
    <t>Population Coverage</t>
  </si>
  <si>
    <t>Years 2-10</t>
  </si>
  <si>
    <t>Population values are estimated from the  YK Delta and Alaska Population Estimates (US Census and Permament Fund data) for Year 2011.</t>
  </si>
  <si>
    <t>Age Groups</t>
  </si>
  <si>
    <t>Avg Number of Toothbrushes per Child per Year</t>
  </si>
  <si>
    <t>Avg Number of Tubes of Toothpaste per Child per Year</t>
  </si>
  <si>
    <t xml:space="preserve">Annual Cost of Toothbrush/Toothpaste per Child </t>
  </si>
  <si>
    <t>Current Caries</t>
  </si>
  <si>
    <t xml:space="preserve">Ideal Caries </t>
  </si>
  <si>
    <t>Cum</t>
  </si>
  <si>
    <t>Cur Car</t>
  </si>
  <si>
    <t>Ideal Car</t>
  </si>
  <si>
    <t>Cur Proc</t>
  </si>
  <si>
    <t>DENTAL CARIES AMONG ALASKA NATIVE CHILDREN IN THE YK REGION</t>
  </si>
  <si>
    <t>Population  per Age Group</t>
  </si>
  <si>
    <t>Brian Hollander, DMD, Yukon-Kushokwim Health Consortium (YKHC)</t>
  </si>
  <si>
    <t>Interventions</t>
  </si>
  <si>
    <t>Curent Caries</t>
  </si>
  <si>
    <t>Ideal Caries</t>
  </si>
  <si>
    <t>Current Procedures</t>
  </si>
  <si>
    <t>Ideal Procedures</t>
  </si>
  <si>
    <t>Varnish Applications</t>
  </si>
  <si>
    <t>Mary Williard, DMD, Alaska Native Tribal Health Consortium (ANTHC)</t>
  </si>
  <si>
    <t>Leif Alberson, Principal, Alaska Health Consulting</t>
  </si>
  <si>
    <t>Lower         (Min Value)</t>
  </si>
  <si>
    <t>Upper                      (Max Value)</t>
  </si>
  <si>
    <t>Oral Exam Cost ($)</t>
  </si>
  <si>
    <t>X-Ray Cost ($)</t>
  </si>
  <si>
    <t>Travel Cost ($)</t>
  </si>
  <si>
    <t>Personnel Costs ($)</t>
  </si>
  <si>
    <t>Medicaid Reimbursement per Child</t>
  </si>
  <si>
    <t>Water System</t>
  </si>
  <si>
    <t>Fluoridation Status</t>
  </si>
  <si>
    <t>Population</t>
  </si>
  <si>
    <t>Alakanuk</t>
  </si>
  <si>
    <t>System is currently fluoridating.</t>
  </si>
  <si>
    <t>Bethel</t>
  </si>
  <si>
    <t>Chevak</t>
  </si>
  <si>
    <t>Kotlik</t>
  </si>
  <si>
    <t>System is starting fluoridating.</t>
  </si>
  <si>
    <t>Marshall</t>
  </si>
  <si>
    <t>System is currently fluoridating</t>
  </si>
  <si>
    <t>Toksook Bay</t>
  </si>
  <si>
    <t>Akiachak</t>
  </si>
  <si>
    <t>Fluoridation possible in next year.</t>
  </si>
  <si>
    <t>Akiak</t>
  </si>
  <si>
    <t>Atmautluak</t>
  </si>
  <si>
    <t>Fluoridation is a long term possibility.</t>
  </si>
  <si>
    <t>Emmonak</t>
  </si>
  <si>
    <t>Grayling</t>
  </si>
  <si>
    <t>Holy Cross</t>
  </si>
  <si>
    <t>Kwethluk</t>
  </si>
  <si>
    <t>Lower Kalskag</t>
  </si>
  <si>
    <t>Mountain Village</t>
  </si>
  <si>
    <t>Nunam Iqua</t>
  </si>
  <si>
    <t>Pilot Station</t>
  </si>
  <si>
    <t>Russian Mission</t>
  </si>
  <si>
    <t>Saint Mary's</t>
  </si>
  <si>
    <t>Scammon Bay</t>
  </si>
  <si>
    <t>Shageluk</t>
  </si>
  <si>
    <t>Tulusak</t>
  </si>
  <si>
    <t>***CALCULATIONS PAGE: DO NOT CHANGE***  MAXIMUM VALUE</t>
  </si>
  <si>
    <t>***CALCULATIONS PAGE: DO NOT CHANGE*** minimum values</t>
  </si>
  <si>
    <t>RESULTS: PREVENTION EFFECTIVENESS COST</t>
  </si>
  <si>
    <t xml:space="preserve">Total Villages </t>
  </si>
  <si>
    <r>
      <t>Number of Children who Received Varnish App in One Year</t>
    </r>
    <r>
      <rPr>
        <b/>
        <vertAlign val="superscript"/>
        <sz val="14"/>
        <color theme="0"/>
        <rFont val="Calibri"/>
        <family val="2"/>
        <scheme val="minor"/>
      </rPr>
      <t>a</t>
    </r>
  </si>
  <si>
    <t>Medicaid Reimbursement per sealed tooth</t>
  </si>
  <si>
    <r>
      <t xml:space="preserve"> Number of Caries at Current Coverage  (</t>
    </r>
    <r>
      <rPr>
        <b/>
        <i/>
        <sz val="14"/>
        <rFont val="Calibri"/>
        <family val="2"/>
        <scheme val="minor"/>
      </rPr>
      <t>Min Eff</t>
    </r>
    <r>
      <rPr>
        <b/>
        <sz val="14"/>
        <rFont val="Calibri"/>
        <family val="2"/>
        <scheme val="minor"/>
      </rPr>
      <t>)</t>
    </r>
  </si>
  <si>
    <r>
      <t xml:space="preserve"> Number of Caries at Current Coverage  (</t>
    </r>
    <r>
      <rPr>
        <b/>
        <i/>
        <sz val="14"/>
        <rFont val="Calibri"/>
        <family val="2"/>
        <scheme val="minor"/>
      </rPr>
      <t>Max Eff</t>
    </r>
    <r>
      <rPr>
        <b/>
        <sz val="14"/>
        <rFont val="Calibri"/>
        <family val="2"/>
        <scheme val="minor"/>
      </rPr>
      <t>)</t>
    </r>
  </si>
  <si>
    <r>
      <t>Number of Caries at Ideal Coverage (</t>
    </r>
    <r>
      <rPr>
        <b/>
        <i/>
        <sz val="14"/>
        <rFont val="Calibri"/>
        <family val="2"/>
        <scheme val="minor"/>
      </rPr>
      <t>Max Eff</t>
    </r>
    <r>
      <rPr>
        <b/>
        <sz val="14"/>
        <rFont val="Calibri"/>
        <family val="2"/>
        <scheme val="minor"/>
      </rPr>
      <t>)</t>
    </r>
  </si>
  <si>
    <t>OVERALL COST of TREATMENT per YEAR</t>
  </si>
  <si>
    <t>Current No. of Procedures Prevented</t>
  </si>
  <si>
    <t>Cost of Averting Procedures per year</t>
  </si>
  <si>
    <t>Additional First Year Cost</t>
  </si>
  <si>
    <t>Additional Total INT Cost</t>
  </si>
  <si>
    <r>
      <t>Additional Number of Caries Averted (</t>
    </r>
    <r>
      <rPr>
        <b/>
        <i/>
        <sz val="14"/>
        <rFont val="Calibri"/>
        <family val="2"/>
        <scheme val="minor"/>
      </rPr>
      <t>Min Eff</t>
    </r>
    <r>
      <rPr>
        <b/>
        <sz val="14"/>
        <rFont val="Calibri"/>
        <family val="2"/>
        <scheme val="minor"/>
      </rPr>
      <t>)</t>
    </r>
  </si>
  <si>
    <r>
      <t>Additional Number of Caries Averted (</t>
    </r>
    <r>
      <rPr>
        <b/>
        <i/>
        <sz val="14"/>
        <rFont val="Calibri"/>
        <family val="2"/>
        <scheme val="minor"/>
      </rPr>
      <t>Max Eff</t>
    </r>
    <r>
      <rPr>
        <b/>
        <sz val="14"/>
        <rFont val="Calibri"/>
        <family val="2"/>
        <scheme val="minor"/>
      </rPr>
      <t>)</t>
    </r>
  </si>
  <si>
    <t>Discount Rate</t>
  </si>
  <si>
    <r>
      <t xml:space="preserve"> Number of GA Procedures at Current Coverage (</t>
    </r>
    <r>
      <rPr>
        <b/>
        <i/>
        <sz val="14"/>
        <rFont val="Calibri"/>
        <family val="2"/>
        <scheme val="minor"/>
      </rPr>
      <t>Min Eff</t>
    </r>
    <r>
      <rPr>
        <b/>
        <sz val="14"/>
        <rFont val="Calibri"/>
        <family val="2"/>
        <scheme val="minor"/>
      </rPr>
      <t>)</t>
    </r>
  </si>
  <si>
    <r>
      <t xml:space="preserve"> Number of GA Procedures at Current Coverage (</t>
    </r>
    <r>
      <rPr>
        <b/>
        <i/>
        <sz val="14"/>
        <rFont val="Calibri"/>
        <family val="2"/>
        <scheme val="minor"/>
      </rPr>
      <t>Max Eff</t>
    </r>
    <r>
      <rPr>
        <b/>
        <sz val="14"/>
        <rFont val="Calibri"/>
        <family val="2"/>
        <scheme val="minor"/>
      </rPr>
      <t>)</t>
    </r>
  </si>
  <si>
    <r>
      <t>Additional GA Procedures Averted           (</t>
    </r>
    <r>
      <rPr>
        <b/>
        <i/>
        <sz val="14"/>
        <rFont val="Calibri"/>
        <family val="2"/>
        <scheme val="minor"/>
      </rPr>
      <t>Min Eff</t>
    </r>
    <r>
      <rPr>
        <b/>
        <sz val="14"/>
        <rFont val="Calibri"/>
        <family val="2"/>
        <scheme val="minor"/>
      </rPr>
      <t>)</t>
    </r>
  </si>
  <si>
    <r>
      <t>Number of GA Procedures at Ideal Coverage (</t>
    </r>
    <r>
      <rPr>
        <b/>
        <i/>
        <sz val="14"/>
        <rFont val="Calibri"/>
        <family val="2"/>
        <scheme val="minor"/>
      </rPr>
      <t>Max Eff</t>
    </r>
    <r>
      <rPr>
        <b/>
        <sz val="14"/>
        <rFont val="Calibri"/>
        <family val="2"/>
        <scheme val="minor"/>
      </rPr>
      <t>)</t>
    </r>
  </si>
  <si>
    <r>
      <t>Number of GA Procedures at Ideal Coverage (</t>
    </r>
    <r>
      <rPr>
        <b/>
        <i/>
        <sz val="14"/>
        <rFont val="Calibri"/>
        <family val="2"/>
        <scheme val="minor"/>
      </rPr>
      <t>Min Eff</t>
    </r>
    <r>
      <rPr>
        <b/>
        <sz val="14"/>
        <rFont val="Calibri"/>
        <family val="2"/>
        <scheme val="minor"/>
      </rPr>
      <t>)</t>
    </r>
  </si>
  <si>
    <r>
      <t>Cost per Carie Averted at Current Coverage (</t>
    </r>
    <r>
      <rPr>
        <b/>
        <i/>
        <sz val="14"/>
        <rFont val="Calibri"/>
        <family val="2"/>
        <scheme val="minor"/>
      </rPr>
      <t>Min Eff</t>
    </r>
    <r>
      <rPr>
        <b/>
        <sz val="14"/>
        <rFont val="Calibri"/>
        <family val="2"/>
        <scheme val="minor"/>
      </rPr>
      <t>)</t>
    </r>
  </si>
  <si>
    <r>
      <t>Cost per Carie Averted at Current Coverage (</t>
    </r>
    <r>
      <rPr>
        <b/>
        <i/>
        <sz val="14"/>
        <rFont val="Calibri"/>
        <family val="2"/>
        <scheme val="minor"/>
      </rPr>
      <t>Max Eff</t>
    </r>
    <r>
      <rPr>
        <b/>
        <sz val="14"/>
        <rFont val="Calibri"/>
        <family val="2"/>
        <scheme val="minor"/>
      </rPr>
      <t>)</t>
    </r>
  </si>
  <si>
    <r>
      <t>Cost per GA Procedure Averted  at Current Coverage (</t>
    </r>
    <r>
      <rPr>
        <b/>
        <i/>
        <sz val="14"/>
        <rFont val="Calibri"/>
        <family val="2"/>
        <scheme val="minor"/>
      </rPr>
      <t>Min Eff</t>
    </r>
    <r>
      <rPr>
        <b/>
        <sz val="14"/>
        <rFont val="Calibri"/>
        <family val="2"/>
        <scheme val="minor"/>
      </rPr>
      <t>)</t>
    </r>
  </si>
  <si>
    <r>
      <t>Cost per GA  Procedure Averted at Current Coverage (</t>
    </r>
    <r>
      <rPr>
        <b/>
        <i/>
        <sz val="14"/>
        <rFont val="Calibri"/>
        <family val="2"/>
        <scheme val="minor"/>
      </rPr>
      <t>Max Eff</t>
    </r>
    <r>
      <rPr>
        <b/>
        <sz val="14"/>
        <rFont val="Calibri"/>
        <family val="2"/>
        <scheme val="minor"/>
      </rPr>
      <t>)</t>
    </r>
  </si>
  <si>
    <t>(Efficacy in preventing dental caries using the specific dental interventions )</t>
  </si>
  <si>
    <t>Assumption:  Effectiveness % is the percentage of the entire populaion that had a reduction in number of caries</t>
  </si>
  <si>
    <t>Number of Caries Averted</t>
  </si>
  <si>
    <t>Number of General Anesthesia (GA) Procedures Averted</t>
  </si>
  <si>
    <r>
      <t>Number of Caries at Ideal Coverage     (</t>
    </r>
    <r>
      <rPr>
        <b/>
        <i/>
        <sz val="14"/>
        <rFont val="Calibri"/>
        <family val="2"/>
        <scheme val="minor"/>
      </rPr>
      <t>Min Eff</t>
    </r>
    <r>
      <rPr>
        <b/>
        <sz val="14"/>
        <rFont val="Calibri"/>
        <family val="2"/>
        <scheme val="minor"/>
      </rPr>
      <t>)</t>
    </r>
  </si>
  <si>
    <t>INSTRUCTION</t>
  </si>
  <si>
    <t>(This page contains helpful hints on how to navigate between different pages contained in this spreadsheet model)</t>
  </si>
  <si>
    <t>Use this button to "START" the operation of the Dental Caries Effectiveness spreadsheet-based model</t>
  </si>
  <si>
    <t>Use this button to move forward through the spreadsheet-based model</t>
  </si>
  <si>
    <t>Use this button to move backward through the spreadsheet-based model</t>
  </si>
  <si>
    <t>Use this button to navigate back to the MAIN page to "START" the Dental Caries Effectiveness spreadsheet-based model</t>
  </si>
  <si>
    <t>All gray colored cells contain calculated and/or required data.  The information presented in these cells should not be altered by the user.</t>
  </si>
  <si>
    <t>Program Cost</t>
  </si>
  <si>
    <t>Caries Averted (min)</t>
  </si>
  <si>
    <t>(Capacity for adjusting the natural levels of flouride by adding additional flouride in the village water systems for optimal oral health)</t>
  </si>
  <si>
    <t>WHAT IS DISCOUNTING?</t>
  </si>
  <si>
    <r>
      <t xml:space="preserve"> Incremental Cost* per GA Procedure Averted at Ideal Coverage                (</t>
    </r>
    <r>
      <rPr>
        <b/>
        <i/>
        <sz val="14"/>
        <rFont val="Calibri"/>
        <family val="2"/>
        <scheme val="minor"/>
      </rPr>
      <t>Min Eff</t>
    </r>
    <r>
      <rPr>
        <b/>
        <sz val="14"/>
        <rFont val="Calibri"/>
        <family val="2"/>
        <scheme val="minor"/>
      </rPr>
      <t>)</t>
    </r>
  </si>
  <si>
    <r>
      <t>Incremental Cost* per GA Procedure Averted at Ideal Coverage             (</t>
    </r>
    <r>
      <rPr>
        <b/>
        <i/>
        <sz val="14"/>
        <rFont val="Calibri"/>
        <family val="2"/>
        <scheme val="minor"/>
      </rPr>
      <t>Max Eff</t>
    </r>
    <r>
      <rPr>
        <b/>
        <sz val="14"/>
        <rFont val="Calibri"/>
        <family val="2"/>
        <scheme val="minor"/>
      </rPr>
      <t>)</t>
    </r>
  </si>
  <si>
    <r>
      <t>Incremental Cost* per Carie Averted at Ideal Coverage (</t>
    </r>
    <r>
      <rPr>
        <b/>
        <i/>
        <sz val="14"/>
        <rFont val="Calibri"/>
        <family val="2"/>
        <scheme val="minor"/>
      </rPr>
      <t>Max Eff</t>
    </r>
    <r>
      <rPr>
        <b/>
        <sz val="14"/>
        <rFont val="Calibri"/>
        <family val="2"/>
        <scheme val="minor"/>
      </rPr>
      <t>)</t>
    </r>
  </si>
  <si>
    <r>
      <t>Incremental Cost per Carie Averted* at Ideal Coverage (</t>
    </r>
    <r>
      <rPr>
        <b/>
        <i/>
        <sz val="14"/>
        <rFont val="Calibri"/>
        <family val="2"/>
        <scheme val="minor"/>
      </rPr>
      <t>Min Eff</t>
    </r>
    <r>
      <rPr>
        <b/>
        <sz val="14"/>
        <rFont val="Calibri"/>
        <family val="2"/>
        <scheme val="minor"/>
      </rPr>
      <t>)</t>
    </r>
  </si>
  <si>
    <t>*Childhood Village population for Water Fluoridation was determined using Census Tract information for Year 2011.  Exact Village pop is found in the Village TAB.</t>
  </si>
  <si>
    <t>VILLAGE POPULATION</t>
  </si>
  <si>
    <t>Village Population Data</t>
  </si>
  <si>
    <t>Procedure</t>
  </si>
  <si>
    <t>TREATMENT COSTS: REFER TO SUMMARY PAGE</t>
  </si>
  <si>
    <t>Select here to obtain the full list of calculations for minimum effectiveness</t>
  </si>
  <si>
    <t>Select here to obtain the full list of calculations for maximum effectiveness</t>
  </si>
  <si>
    <t>TREATMENT COSTS: REFERS TO SUMMARY PAGE</t>
  </si>
  <si>
    <r>
      <t>Incremental Cost per Carie Averted* at Ideal Coverage (</t>
    </r>
    <r>
      <rPr>
        <b/>
        <i/>
        <sz val="14"/>
        <rFont val="Calibri"/>
        <family val="2"/>
        <scheme val="minor"/>
      </rPr>
      <t>Max Eff</t>
    </r>
    <r>
      <rPr>
        <b/>
        <sz val="14"/>
        <rFont val="Calibri"/>
        <family val="2"/>
        <scheme val="minor"/>
      </rPr>
      <t>)</t>
    </r>
  </si>
  <si>
    <t>*Incremental costs is defined as the additional cost needed to avert the additional number of caries or general anesthesia procedure produced when the population increases from the current coverage to ideal coverage.</t>
  </si>
  <si>
    <t>PROGRAM COSTS VS. OUTCOMES AVERTED</t>
  </si>
  <si>
    <t xml:space="preserve">Medicaid Reimbursement per application </t>
  </si>
  <si>
    <t>NUMBER OF HEALTH OUTCOMES AVERTED</t>
  </si>
  <si>
    <t>RESULTS: HEALTH OUTCOMES AVERTED</t>
  </si>
  <si>
    <r>
      <t>Additional GA Procedures Averted           (</t>
    </r>
    <r>
      <rPr>
        <b/>
        <i/>
        <sz val="14"/>
        <rFont val="Calibri"/>
        <family val="2"/>
        <scheme val="minor"/>
      </rPr>
      <t>Max Eff</t>
    </r>
    <r>
      <rPr>
        <b/>
        <sz val="14"/>
        <rFont val="Calibri"/>
        <family val="2"/>
        <scheme val="minor"/>
      </rPr>
      <t>)</t>
    </r>
  </si>
  <si>
    <t>Timeframe</t>
  </si>
  <si>
    <t>(Enter population information for the followinng age groups)</t>
  </si>
  <si>
    <t># of Fluoridated Villages</t>
  </si>
  <si>
    <t>Minimum % of Children w/Fluoridated Water*</t>
  </si>
  <si>
    <t>Maximum % of Children w/Fluoridated Water*</t>
  </si>
  <si>
    <t>Toothbrush/toothpaste</t>
  </si>
  <si>
    <t xml:space="preserve">     Community Dental oral epidemiology; 2004 Vol 32: 159-65.</t>
  </si>
  <si>
    <t>***CALCULATIONS PAGE: DO NOT CHANGE*** SUMMARY OF TREATMENT COSTS</t>
  </si>
  <si>
    <t>Intervention (INT)</t>
  </si>
  <si>
    <t>Toothbrush/      Toothpaste</t>
  </si>
  <si>
    <t>Discounting Formula</t>
  </si>
  <si>
    <t>INTERVENTION (INT) TREATMENT COSTS: UNDISCOUNTED*</t>
  </si>
  <si>
    <t>Min</t>
  </si>
  <si>
    <t>Max</t>
  </si>
  <si>
    <t>Ideal Caries Averted</t>
  </si>
  <si>
    <t>Current GA Procedures Averted</t>
  </si>
  <si>
    <t>Ideal GA Procedures Averted</t>
  </si>
  <si>
    <t>Current Caries Averted</t>
  </si>
  <si>
    <t>***CALCULATIONS PAGE: DO NOT CHANGE*** ANNUAL NUMBER OF PROCEDURES AVERTED</t>
  </si>
  <si>
    <t>*Table values Opresented are the undiscounted number of procedures that can be averted using the interventions</t>
  </si>
  <si>
    <t>Water Flouridation: Procedures Averted (maximum values)</t>
  </si>
  <si>
    <t>Water Flouridation:  Procedures Prevented (minimum values)</t>
  </si>
  <si>
    <t>Year</t>
  </si>
  <si>
    <t>Dental Sealants:  Procedures Prevented (minimum values)</t>
  </si>
  <si>
    <t>Dental Sealants: Procedures Averted (maximum values)</t>
  </si>
  <si>
    <t>Flouride Varnish: Procedures Averted (maximum values)</t>
  </si>
  <si>
    <t>Brushing:  Procedures Prevented (minimum values)</t>
  </si>
  <si>
    <t>Brushing: Procedures Averted (maximum values)</t>
  </si>
  <si>
    <t>Initial Exam:  Procedures Prevented (minimum values)</t>
  </si>
  <si>
    <t>Initial Exam: Procedures Averted (maximum values)</t>
  </si>
  <si>
    <t>Flouride Varnish:  Procedures Prevented (minimum values)</t>
  </si>
  <si>
    <t>Click here for a full list of averted procedures</t>
  </si>
  <si>
    <t>Click here to obtain the full list of Discounted Treatment Costs</t>
  </si>
  <si>
    <t>What is the pop coverage?</t>
  </si>
  <si>
    <t>What are the initial costs?</t>
  </si>
  <si>
    <t>Current Est Intervention Cost</t>
  </si>
  <si>
    <t>Ideal Est Intervention Cost</t>
  </si>
  <si>
    <t>What are the Estimated (Est) Costs?</t>
  </si>
  <si>
    <t xml:space="preserve">Undiscounted Intervention Cost </t>
  </si>
  <si>
    <t>What are the discounted costs?</t>
  </si>
  <si>
    <t>?</t>
  </si>
  <si>
    <t>Initial exam with dental health education</t>
  </si>
  <si>
    <t>(Proccess of a child brushing their teeth at least twice a day using a toothbrush and fluoride toothpaste either with the assistance of a parent/guardian or by oneself)</t>
  </si>
  <si>
    <t>Can these costs be changed?</t>
  </si>
  <si>
    <t>All white cells require data to be entered by user.  Any data entered into these cells can be changed or overwritten by the user.</t>
  </si>
  <si>
    <t>Use this button to access supplemental information or for more detailed explanations on specific topics.</t>
  </si>
  <si>
    <t># of children seen prior to 18 months of age</t>
  </si>
  <si>
    <t>Current Population Covered</t>
  </si>
  <si>
    <t>Total Population</t>
  </si>
  <si>
    <t>Updated:  Total Number of Children</t>
  </si>
  <si>
    <t>Seen for Dental Services</t>
  </si>
  <si>
    <t>6-11 months</t>
  </si>
  <si>
    <t>12-23 months</t>
  </si>
  <si>
    <t>24-35 months</t>
  </si>
  <si>
    <t>36-47 months</t>
  </si>
  <si>
    <t>48-59 months</t>
  </si>
  <si>
    <t>Mean number of encounters</t>
  </si>
  <si>
    <t>per child</t>
  </si>
  <si>
    <r>
      <t xml:space="preserve">Total </t>
    </r>
    <r>
      <rPr>
        <vertAlign val="superscript"/>
        <sz val="11"/>
        <color theme="1"/>
        <rFont val="Calibri"/>
        <family val="2"/>
        <scheme val="minor"/>
      </rPr>
      <t xml:space="preserve"> </t>
    </r>
  </si>
  <si>
    <t>6 -12 months</t>
  </si>
  <si>
    <t>12-24 months</t>
  </si>
  <si>
    <t>24-36 months</t>
  </si>
  <si>
    <t>36-48 months</t>
  </si>
  <si>
    <t>48-60 months</t>
  </si>
  <si>
    <r>
      <t>Number of  Children With Sealants within one year</t>
    </r>
    <r>
      <rPr>
        <b/>
        <vertAlign val="superscript"/>
        <sz val="14"/>
        <color theme="0"/>
        <rFont val="Calibri"/>
        <family val="2"/>
        <scheme val="minor"/>
      </rPr>
      <t>a</t>
    </r>
  </si>
  <si>
    <r>
      <t>TOTAL</t>
    </r>
    <r>
      <rPr>
        <b/>
        <i/>
        <vertAlign val="superscript"/>
        <sz val="14"/>
        <color theme="1"/>
        <rFont val="Calibri"/>
        <family val="2"/>
        <scheme val="minor"/>
      </rPr>
      <t>e</t>
    </r>
  </si>
  <si>
    <t>Crown Placement Cost ($)</t>
  </si>
  <si>
    <r>
      <t>Total Number of Children Seen for Dental Services</t>
    </r>
    <r>
      <rPr>
        <b/>
        <vertAlign val="superscript"/>
        <sz val="14"/>
        <color theme="0"/>
        <rFont val="Calibri"/>
        <family val="2"/>
        <scheme val="minor"/>
      </rPr>
      <t>a</t>
    </r>
  </si>
  <si>
    <t xml:space="preserve">       One surface fillings accounted for 62% of all fillings, while 2 surface fillings accounted for 24%, and 3 and 4 surfaces accounted for 9% and 4%, respectively.</t>
  </si>
  <si>
    <r>
      <t>Recommended Number of Teeth Sealed per Child</t>
    </r>
    <r>
      <rPr>
        <b/>
        <vertAlign val="superscript"/>
        <sz val="14"/>
        <color theme="0"/>
        <rFont val="Calibri"/>
        <family val="2"/>
        <scheme val="minor"/>
      </rPr>
      <t>c</t>
    </r>
  </si>
  <si>
    <r>
      <t>Total Number of Annual FMDRs Completed</t>
    </r>
    <r>
      <rPr>
        <b/>
        <vertAlign val="superscript"/>
        <sz val="14"/>
        <color theme="0"/>
        <rFont val="Calibri"/>
        <family val="2"/>
        <scheme val="minor"/>
      </rPr>
      <t>a</t>
    </r>
  </si>
  <si>
    <t xml:space="preserve">       Total FMDR reported is the number that were actually completed during Year 2011, as reported using YK Frequency data, supplied by Richard Baum. </t>
  </si>
  <si>
    <r>
      <t>Average Number of Teeth with Sealants</t>
    </r>
    <r>
      <rPr>
        <b/>
        <vertAlign val="superscript"/>
        <sz val="14"/>
        <color theme="0"/>
        <rFont val="Calibri"/>
        <family val="2"/>
        <scheme val="minor"/>
      </rPr>
      <t>b</t>
    </r>
  </si>
  <si>
    <t>Caries</t>
  </si>
  <si>
    <t>FMDRs</t>
  </si>
  <si>
    <t>current</t>
  </si>
  <si>
    <t>ideal</t>
  </si>
  <si>
    <t>Flouride Varnish</t>
  </si>
  <si>
    <r>
      <t>OR Cost for FMDR Treatment</t>
    </r>
    <r>
      <rPr>
        <b/>
        <vertAlign val="superscript"/>
        <sz val="14"/>
        <color theme="0"/>
        <rFont val="Calibri"/>
        <family val="2"/>
        <scheme val="minor"/>
      </rPr>
      <t>b</t>
    </r>
    <r>
      <rPr>
        <b/>
        <sz val="14"/>
        <color theme="0"/>
        <rFont val="Calibri"/>
        <family val="2"/>
        <scheme val="minor"/>
      </rPr>
      <t xml:space="preserve"> ($)</t>
    </r>
  </si>
  <si>
    <t>(Application of a clear,protective bond to the biting surfaces of the back teeth that can shield the tooth from bacteria and plaque, which  may increase the probability of the area remaining free of dental caries.)</t>
  </si>
  <si>
    <r>
      <t>Totals</t>
    </r>
    <r>
      <rPr>
        <b/>
        <vertAlign val="superscript"/>
        <sz val="14"/>
        <color theme="1"/>
        <rFont val="Calibri"/>
        <family val="2"/>
        <scheme val="minor"/>
      </rPr>
      <t>d</t>
    </r>
  </si>
  <si>
    <t>(Use of a topical flouride treatment, consisting of 5% sodium fluoride in a resin base,painted over teeth surfaces to prevent dental caries.)</t>
  </si>
  <si>
    <t>(Enter the total number of full-mouth dental reconstructions completed and their associated costs for children&lt;60 montths of age.)</t>
  </si>
  <si>
    <t>(Calculation for the total costs of treating children being seen for the caries evaluation, which include exam, x-ray, crown placement, and filling cost.)</t>
  </si>
  <si>
    <r>
      <t>TOTALS</t>
    </r>
    <r>
      <rPr>
        <b/>
        <vertAlign val="superscript"/>
        <sz val="14"/>
        <color theme="1"/>
        <rFont val="Calibri"/>
        <family val="2"/>
        <scheme val="minor"/>
      </rPr>
      <t>c</t>
    </r>
  </si>
  <si>
    <r>
      <t>Filling Cost ($) per tooth</t>
    </r>
    <r>
      <rPr>
        <b/>
        <vertAlign val="superscript"/>
        <sz val="16"/>
        <color theme="0"/>
        <rFont val="Calibri"/>
        <family val="2"/>
        <scheme val="minor"/>
      </rPr>
      <t>d</t>
    </r>
  </si>
  <si>
    <t>(Providing an initial dental exam to children prior to 18 months of age to evaluate the condition of the child's teeth and educate parents about effective oral hygiene practices)</t>
  </si>
  <si>
    <r>
      <t>Current First Year Cost</t>
    </r>
    <r>
      <rPr>
        <b/>
        <vertAlign val="superscript"/>
        <sz val="14"/>
        <color theme="1"/>
        <rFont val="Calibri"/>
        <family val="2"/>
        <scheme val="minor"/>
      </rPr>
      <t>a</t>
    </r>
  </si>
  <si>
    <r>
      <t>Maximum First Year Cost</t>
    </r>
    <r>
      <rPr>
        <b/>
        <vertAlign val="superscript"/>
        <sz val="14"/>
        <color theme="1"/>
        <rFont val="Calibri"/>
        <family val="2"/>
        <scheme val="minor"/>
      </rPr>
      <t>b</t>
    </r>
  </si>
  <si>
    <r>
      <t>*</t>
    </r>
    <r>
      <rPr>
        <b/>
        <sz val="11"/>
        <rFont val="Calibri"/>
        <family val="2"/>
        <scheme val="minor"/>
      </rPr>
      <t>Water Fluoridation Coverage</t>
    </r>
    <r>
      <rPr>
        <sz val="11"/>
        <rFont val="Calibri"/>
        <family val="2"/>
        <scheme val="minor"/>
      </rPr>
      <t xml:space="preserve"> provided be Jennifer Dobson's report on the possibility of water fluoridation in YK Region:  Total of 48 villages included in </t>
    </r>
  </si>
  <si>
    <r>
      <rPr>
        <b/>
        <sz val="11"/>
        <color theme="1"/>
        <rFont val="Calibri"/>
        <family val="2"/>
        <scheme val="minor"/>
      </rPr>
      <t>a)Current First Year Cost</t>
    </r>
    <r>
      <rPr>
        <sz val="11"/>
        <color theme="1"/>
        <rFont val="Calibri"/>
        <family val="2"/>
        <scheme val="minor"/>
      </rPr>
      <t xml:space="preserve"> is the annual cost of supplying fluoridated water to the existing 5 villages that have already begun delivering fluoridation to its residents..</t>
    </r>
  </si>
  <si>
    <r>
      <rPr>
        <b/>
        <sz val="11"/>
        <color theme="1"/>
        <rFont val="Calibri"/>
        <family val="2"/>
        <scheme val="minor"/>
      </rPr>
      <t xml:space="preserve">a) Number of children that received at least one sealant during a dental visit </t>
    </r>
    <r>
      <rPr>
        <sz val="11"/>
        <color theme="1"/>
        <rFont val="Calibri"/>
        <family val="2"/>
        <scheme val="minor"/>
      </rPr>
      <t>was from YKHC using chart numbers and visit dates for Year 2011.</t>
    </r>
  </si>
  <si>
    <r>
      <rPr>
        <b/>
        <sz val="11"/>
        <color theme="1"/>
        <rFont val="Calibri"/>
        <family val="2"/>
        <scheme val="minor"/>
      </rPr>
      <t>b) Average number of sealants applied during one dental visit</t>
    </r>
    <r>
      <rPr>
        <sz val="11"/>
        <color theme="1"/>
        <rFont val="Calibri"/>
        <family val="2"/>
        <scheme val="minor"/>
      </rPr>
      <t xml:space="preserve"> was obtained from Dana Bruden for YKHC Dental Procedure Visits during Year 2011.</t>
    </r>
  </si>
  <si>
    <r>
      <rPr>
        <b/>
        <sz val="11"/>
        <color theme="1"/>
        <rFont val="Calibri"/>
        <family val="2"/>
        <scheme val="minor"/>
      </rPr>
      <t>d) The total for each column</t>
    </r>
    <r>
      <rPr>
        <sz val="11"/>
        <color theme="1"/>
        <rFont val="Calibri"/>
        <family val="2"/>
        <scheme val="minor"/>
      </rPr>
      <t xml:space="preserve"> is given in "black".  However, values presented in </t>
    </r>
    <r>
      <rPr>
        <b/>
        <sz val="11"/>
        <color rgb="FFFF0000"/>
        <rFont val="Calibri"/>
        <family val="2"/>
        <scheme val="minor"/>
      </rPr>
      <t xml:space="preserve">red </t>
    </r>
    <r>
      <rPr>
        <sz val="11"/>
        <color theme="1"/>
        <rFont val="Calibri"/>
        <family val="2"/>
        <scheme val="minor"/>
      </rPr>
      <t>are the average mean values across all age groups.</t>
    </r>
  </si>
  <si>
    <r>
      <rPr>
        <b/>
        <sz val="11"/>
        <color theme="1"/>
        <rFont val="Calibri"/>
        <family val="2"/>
        <scheme val="minor"/>
      </rPr>
      <t xml:space="preserve">a) Number of varnish applications </t>
    </r>
    <r>
      <rPr>
        <sz val="11"/>
        <color theme="1"/>
        <rFont val="Calibri"/>
        <family val="2"/>
        <scheme val="minor"/>
      </rPr>
      <t>was obtained from Dthe 2011 Dental Procedures Visits database.</t>
    </r>
  </si>
  <si>
    <r>
      <rPr>
        <b/>
        <sz val="11"/>
        <color theme="1"/>
        <rFont val="Calibri"/>
        <family val="2"/>
        <scheme val="minor"/>
      </rPr>
      <t>b) Recommended number of varnish applications</t>
    </r>
    <r>
      <rPr>
        <sz val="11"/>
        <color theme="1"/>
        <rFont val="Calibri"/>
        <family val="2"/>
        <scheme val="minor"/>
      </rPr>
      <t xml:space="preserve"> is at least 2x/year on endangered primary teeth or during well child visits (9, 12, 15, 18, 24, and 30 months)</t>
    </r>
  </si>
  <si>
    <r>
      <rPr>
        <b/>
        <sz val="11"/>
        <color theme="1"/>
        <rFont val="Calibri"/>
        <family val="2"/>
        <scheme val="minor"/>
      </rPr>
      <t xml:space="preserve">*Current Population coverage </t>
    </r>
    <r>
      <rPr>
        <sz val="11"/>
        <color theme="1"/>
        <rFont val="Calibri"/>
        <family val="2"/>
        <scheme val="minor"/>
      </rPr>
      <t>was obtained from statistics pulled from 2008 Dental Epi-Aid conducted in 5 towns in the YKDelta.</t>
    </r>
  </si>
  <si>
    <r>
      <rPr>
        <b/>
        <sz val="11"/>
        <color theme="1"/>
        <rFont val="Calibri"/>
        <family val="2"/>
        <scheme val="minor"/>
      </rPr>
      <t>*Actual number that received an initial exam (&lt;18 months)</t>
    </r>
    <r>
      <rPr>
        <sz val="11"/>
        <color theme="1"/>
        <rFont val="Calibri"/>
        <family val="2"/>
        <scheme val="minor"/>
      </rPr>
      <t xml:space="preserve"> was obtained from Dana Bruden with Artic Investigations Program in the YK Delta.</t>
    </r>
  </si>
  <si>
    <r>
      <rPr>
        <b/>
        <sz val="11"/>
        <color theme="1"/>
        <rFont val="Calibri"/>
        <family val="2"/>
        <scheme val="minor"/>
      </rPr>
      <t>a)</t>
    </r>
    <r>
      <rPr>
        <sz val="11"/>
        <color theme="1"/>
        <rFont val="Calibri"/>
        <family val="2"/>
        <scheme val="minor"/>
      </rPr>
      <t xml:space="preserve"> Clark DC, et al. "Effects of lifelong consumption of fluoridated water or use of fluoride supplements on dental caries prevalence". Community Dental Oral Epidemiology: Vol 23(1) Feb 1995; 20-24.</t>
    </r>
  </si>
  <si>
    <r>
      <rPr>
        <b/>
        <sz val="11"/>
        <color theme="1"/>
        <rFont val="Calibri"/>
        <family val="2"/>
        <scheme val="minor"/>
      </rPr>
      <t>b)</t>
    </r>
    <r>
      <rPr>
        <sz val="11"/>
        <color theme="1"/>
        <rFont val="Calibri"/>
        <family val="2"/>
        <scheme val="minor"/>
      </rPr>
      <t xml:space="preserve"> Dobson J, "Overview of Water Fluoridation".  Alaska Area Dental Assistant Meeting. November 2010.</t>
    </r>
  </si>
  <si>
    <r>
      <rPr>
        <b/>
        <sz val="11"/>
        <color theme="1"/>
        <rFont val="Calibri"/>
        <family val="2"/>
        <scheme val="minor"/>
      </rPr>
      <t>c)</t>
    </r>
    <r>
      <rPr>
        <sz val="11"/>
        <color theme="1"/>
        <rFont val="Calibri"/>
        <family val="2"/>
        <scheme val="minor"/>
      </rPr>
      <t xml:space="preserve"> Beauchamp J DDS, et al. "Evidence-based clinical recommendations for the use of pit-and-fissure sealants". JADA, Vol 139 march 2008.</t>
    </r>
  </si>
  <si>
    <r>
      <rPr>
        <b/>
        <sz val="11"/>
        <color theme="1"/>
        <rFont val="Calibri"/>
        <family val="2"/>
        <scheme val="minor"/>
      </rPr>
      <t>d)</t>
    </r>
    <r>
      <rPr>
        <sz val="11"/>
        <color theme="1"/>
        <rFont val="Calibri"/>
        <family val="2"/>
        <scheme val="minor"/>
      </rPr>
      <t xml:space="preserve"> Rozier RG, DDS. "Effectiveness of Methods Used by Dental Professionals for the primary Prevention of Dental Caries". Journal of Dental Education; Vol 65(10) October 2001; 1063-72.</t>
    </r>
  </si>
  <si>
    <r>
      <rPr>
        <b/>
        <sz val="11"/>
        <color theme="1"/>
        <rFont val="Calibri"/>
        <family val="2"/>
        <scheme val="minor"/>
      </rPr>
      <t>e)</t>
    </r>
    <r>
      <rPr>
        <sz val="11"/>
        <color theme="1"/>
        <rFont val="Calibri"/>
        <family val="2"/>
        <scheme val="minor"/>
      </rPr>
      <t xml:space="preserve"> Lesser D. An Overview of Dental Sealants. Special Supplental issue. Access, 2001.</t>
    </r>
  </si>
  <si>
    <r>
      <rPr>
        <b/>
        <sz val="11"/>
        <color theme="1"/>
        <rFont val="Calibri"/>
        <family val="2"/>
        <scheme val="minor"/>
      </rPr>
      <t>f)</t>
    </r>
    <r>
      <rPr>
        <sz val="11"/>
        <color theme="1"/>
        <rFont val="Calibri"/>
        <family val="2"/>
        <scheme val="minor"/>
      </rPr>
      <t xml:space="preserve"> Holm AK. Effect of fluoride varnish (duraphat) in preschool children. Community Dental Oral Epidemiology 1998 Vol 7: 241-5.</t>
    </r>
  </si>
  <si>
    <r>
      <rPr>
        <b/>
        <sz val="11"/>
        <color theme="1"/>
        <rFont val="Calibri"/>
        <family val="2"/>
        <scheme val="minor"/>
      </rPr>
      <t>g)</t>
    </r>
    <r>
      <rPr>
        <sz val="11"/>
        <color theme="1"/>
        <rFont val="Calibri"/>
        <family val="2"/>
        <scheme val="minor"/>
      </rPr>
      <t xml:space="preserve"> Holve S. "An Observational Study of the Association of Fluoride Varnish Applied During Well Child Visits and the Prevention of Early Childhood Caries in American Indian Children".</t>
    </r>
  </si>
  <si>
    <r>
      <rPr>
        <b/>
        <sz val="11"/>
        <color theme="1"/>
        <rFont val="Calibri"/>
        <family val="2"/>
        <scheme val="minor"/>
      </rPr>
      <t>h)</t>
    </r>
    <r>
      <rPr>
        <sz val="11"/>
        <color theme="1"/>
        <rFont val="Calibri"/>
        <family val="2"/>
        <scheme val="minor"/>
      </rPr>
      <t xml:space="preserve"> Vaikuntam, J. "Flouride varnishes: should we be using them?" Pediatric Dentistry; Vol 22; No 6 2000: 513-516.</t>
    </r>
  </si>
  <si>
    <r>
      <rPr>
        <b/>
        <sz val="11"/>
        <color theme="1"/>
        <rFont val="Calibri"/>
        <family val="2"/>
        <scheme val="minor"/>
      </rPr>
      <t>j)</t>
    </r>
    <r>
      <rPr>
        <sz val="11"/>
        <color theme="1"/>
        <rFont val="Calibri"/>
        <family val="2"/>
        <scheme val="minor"/>
      </rPr>
      <t xml:space="preserve"> Ellwood RP, et al. "Relationship between area deprivation and the anticaries benefit of an oral health programme providing free fluroide toothpaste to young children". </t>
    </r>
  </si>
  <si>
    <r>
      <rPr>
        <b/>
        <sz val="11"/>
        <color theme="1"/>
        <rFont val="Calibri"/>
        <family val="2"/>
        <scheme val="minor"/>
      </rPr>
      <t>k)</t>
    </r>
    <r>
      <rPr>
        <sz val="11"/>
        <color theme="1"/>
        <rFont val="Calibri"/>
        <family val="2"/>
        <scheme val="minor"/>
      </rPr>
      <t xml:space="preserve"> Kay E, Locker D. A systematic review of the effectiveness of health promotion aimed at improving oral health. Comm Dent Health; 1998 Vol 15(3): 132-44.</t>
    </r>
  </si>
  <si>
    <r>
      <rPr>
        <b/>
        <sz val="11"/>
        <rFont val="Calibri"/>
        <family val="2"/>
        <scheme val="minor"/>
      </rPr>
      <t>l)</t>
    </r>
    <r>
      <rPr>
        <sz val="11"/>
        <rFont val="Calibri"/>
        <family val="2"/>
        <scheme val="minor"/>
      </rPr>
      <t xml:space="preserve"> Bader JD, Rozier RG, et al. "Physicians' roles in preventing dental caries in preschool children: a summary of the evidence for the US Preventative Services Task Force". Am J Prev Med; Vol 4 2004: 315-25.</t>
    </r>
  </si>
  <si>
    <r>
      <rPr>
        <b/>
        <sz val="11"/>
        <rFont val="Calibri"/>
        <family val="2"/>
        <scheme val="minor"/>
      </rPr>
      <t>m)</t>
    </r>
    <r>
      <rPr>
        <sz val="11"/>
        <rFont val="Calibri"/>
        <family val="2"/>
        <scheme val="minor"/>
      </rPr>
      <t xml:space="preserve">  Feldens CA, Giugliani ERJ, Duncan BB, et al. Long-term effectiveness of a nutrional program in reducing early childhood caries: a randomized trial". Community Dental Oral Epidemiolo 2010; 38: 324-332.</t>
    </r>
  </si>
  <si>
    <r>
      <rPr>
        <b/>
        <sz val="11"/>
        <color theme="1"/>
        <rFont val="Calibri"/>
        <family val="2"/>
        <scheme val="minor"/>
      </rPr>
      <t>a) Number of procedures requiring general anesthesia</t>
    </r>
    <r>
      <rPr>
        <sz val="11"/>
        <color theme="1"/>
        <rFont val="Calibri"/>
        <family val="2"/>
        <scheme val="minor"/>
      </rPr>
      <t xml:space="preserve"> has been classified as the number of full mouth dental reconstructions (FMDRs).  </t>
    </r>
  </si>
  <si>
    <r>
      <rPr>
        <b/>
        <sz val="11"/>
        <color theme="1"/>
        <rFont val="Calibri"/>
        <family val="2"/>
        <scheme val="minor"/>
      </rPr>
      <t>b) The operating room (OR) costs for each FMDR procedure</t>
    </r>
    <r>
      <rPr>
        <sz val="11"/>
        <color theme="1"/>
        <rFont val="Calibri"/>
        <family val="2"/>
        <scheme val="minor"/>
      </rPr>
      <t xml:space="preserve"> is the average cost of all OR procedures done in  Bethel and Anchorage for children aged 6-60 months.</t>
    </r>
  </si>
  <si>
    <t>%</t>
  </si>
  <si>
    <t>Weighted $</t>
  </si>
  <si>
    <t>Timothy Thomas, MD, Alaska Native Tribal Health Consortium (ANTHC)</t>
  </si>
  <si>
    <t>Dana Bruden, MS CDC/NCEZID/DPEI/AIP</t>
  </si>
  <si>
    <t>Thomas W. Hennessy, MD, MPH CDC/NCEZID/AIP (Director)</t>
  </si>
  <si>
    <t>Purpose: Evaluating the economic costs and benefits of dental interventions  used to reduce dental caries among Alaskan Native children in the YK Delta Region from the dental payer perspective.</t>
  </si>
  <si>
    <t xml:space="preserve">      were resin-based (only 10% were analgam) during 2011.  </t>
  </si>
  <si>
    <t>Filling Costs:</t>
  </si>
  <si>
    <r>
      <rPr>
        <b/>
        <sz val="11"/>
        <color theme="1"/>
        <rFont val="Calibri"/>
        <family val="2"/>
        <scheme val="minor"/>
      </rPr>
      <t>c).  The total for each column</t>
    </r>
    <r>
      <rPr>
        <sz val="11"/>
        <color theme="1"/>
        <rFont val="Calibri"/>
        <family val="2"/>
        <scheme val="minor"/>
      </rPr>
      <t xml:space="preserve"> is given in "black".  However, values presented in </t>
    </r>
    <r>
      <rPr>
        <b/>
        <sz val="11"/>
        <color rgb="FFFF0000"/>
        <rFont val="Calibri"/>
        <family val="2"/>
        <scheme val="minor"/>
      </rPr>
      <t>red</t>
    </r>
    <r>
      <rPr>
        <sz val="11"/>
        <color theme="1"/>
        <rFont val="Calibri"/>
        <family val="2"/>
        <scheme val="minor"/>
      </rPr>
      <t xml:space="preserve"> are the average mean values across all age groups.</t>
    </r>
  </si>
  <si>
    <t>Assumption:  Each child receives only one initial dental exam.</t>
  </si>
  <si>
    <t>An</t>
  </si>
  <si>
    <r>
      <rPr>
        <b/>
        <sz val="11"/>
        <color theme="1"/>
        <rFont val="Calibri"/>
        <family val="2"/>
        <scheme val="minor"/>
      </rPr>
      <t xml:space="preserve">d) </t>
    </r>
    <r>
      <rPr>
        <sz val="11"/>
        <color theme="1"/>
        <rFont val="Calibri"/>
        <family val="2"/>
        <scheme val="minor"/>
      </rPr>
      <t xml:space="preserve">We assumed that the teeth were treated using resin-based fillings because the YK Frequency report details that 90% of all fillings applied </t>
    </r>
  </si>
  <si>
    <r>
      <rPr>
        <b/>
        <sz val="11"/>
        <color theme="1"/>
        <rFont val="Calibri"/>
        <family val="2"/>
        <scheme val="minor"/>
      </rPr>
      <t>+ Start-up Costs and Annual Renewal Costs</t>
    </r>
    <r>
      <rPr>
        <sz val="11"/>
        <color theme="1"/>
        <rFont val="Calibri"/>
        <family val="2"/>
        <scheme val="minor"/>
      </rPr>
      <t xml:space="preserve"> were obtained fom the Rural Alaska Water Flouridation Cost Calculation (2012) provided by Jennifer Dobson</t>
    </r>
  </si>
  <si>
    <r>
      <t>Rebekah Borse, PhD, CDC/NCEZID/DPEI (</t>
    </r>
    <r>
      <rPr>
        <b/>
        <i/>
        <sz val="11"/>
        <color theme="1"/>
        <rFont val="Calibri"/>
        <family val="2"/>
        <scheme val="minor"/>
      </rPr>
      <t>former</t>
    </r>
    <r>
      <rPr>
        <b/>
        <sz val="11"/>
        <color theme="1"/>
        <rFont val="Calibri"/>
        <family val="2"/>
        <scheme val="minor"/>
      </rPr>
      <t>)</t>
    </r>
  </si>
  <si>
    <t>Martin I Meltzer, PhD, CDC/NCEZID/DPEI</t>
  </si>
  <si>
    <t xml:space="preserve">    (2) starting piped water fluoridation systems in the 17 additional villages that have the capacity to deliver water fluoridation to its residents.</t>
  </si>
  <si>
    <r>
      <rPr>
        <b/>
        <sz val="11"/>
        <color theme="1"/>
        <rFont val="Calibri"/>
        <family val="2"/>
        <scheme val="minor"/>
      </rPr>
      <t>b)Maximum First Year Cost</t>
    </r>
    <r>
      <rPr>
        <sz val="11"/>
        <color theme="1"/>
        <rFont val="Calibri"/>
        <family val="2"/>
        <scheme val="minor"/>
      </rPr>
      <t xml:space="preserve"> is the annual cost of program in all 22 villages associated with (1) continuing the water fluoridation in the existing 5 villages that supply fluoridated water and </t>
    </r>
  </si>
  <si>
    <t>Total Annual Median Cost of Completing FMDRs in One Year</t>
  </si>
  <si>
    <r>
      <t>Stainless Steel Crown</t>
    </r>
    <r>
      <rPr>
        <b/>
        <vertAlign val="superscript"/>
        <sz val="14"/>
        <color theme="0"/>
        <rFont val="Calibri"/>
        <family val="2"/>
        <scheme val="minor"/>
      </rPr>
      <t xml:space="preserve">c </t>
    </r>
    <r>
      <rPr>
        <b/>
        <sz val="14"/>
        <color theme="0"/>
        <rFont val="Calibri"/>
        <family val="2"/>
        <scheme val="minor"/>
      </rPr>
      <t xml:space="preserve">  ($)</t>
    </r>
  </si>
  <si>
    <r>
      <t>Erupted Tooth Extraction</t>
    </r>
    <r>
      <rPr>
        <b/>
        <vertAlign val="superscript"/>
        <sz val="14"/>
        <color theme="0"/>
        <rFont val="Calibri"/>
        <family val="2"/>
        <scheme val="minor"/>
      </rPr>
      <t>c</t>
    </r>
    <r>
      <rPr>
        <b/>
        <sz val="14"/>
        <color theme="0"/>
        <rFont val="Calibri"/>
        <family val="2"/>
        <scheme val="minor"/>
      </rPr>
      <t xml:space="preserve">  ($)</t>
    </r>
  </si>
  <si>
    <r>
      <t>Vital Pulpotomy</t>
    </r>
    <r>
      <rPr>
        <b/>
        <vertAlign val="superscript"/>
        <sz val="14"/>
        <color theme="0"/>
        <rFont val="Calibri"/>
        <family val="2"/>
        <scheme val="minor"/>
      </rPr>
      <t>c</t>
    </r>
    <r>
      <rPr>
        <b/>
        <sz val="14"/>
        <color theme="0"/>
        <rFont val="Calibri"/>
        <family val="2"/>
        <scheme val="minor"/>
      </rPr>
      <t xml:space="preserve"> ($)</t>
    </r>
  </si>
  <si>
    <r>
      <t>Other Associated</t>
    </r>
    <r>
      <rPr>
        <b/>
        <vertAlign val="superscript"/>
        <sz val="14"/>
        <color theme="0"/>
        <rFont val="Calibri"/>
        <family val="2"/>
        <scheme val="minor"/>
      </rPr>
      <t>c</t>
    </r>
    <r>
      <rPr>
        <b/>
        <sz val="14"/>
        <color theme="0"/>
        <rFont val="Calibri"/>
        <family val="2"/>
        <scheme val="minor"/>
      </rPr>
      <t xml:space="preserve">  ($)</t>
    </r>
  </si>
  <si>
    <t>Median Value per Child per Visit</t>
  </si>
  <si>
    <r>
      <t>Fillings</t>
    </r>
    <r>
      <rPr>
        <b/>
        <vertAlign val="superscript"/>
        <sz val="14"/>
        <color theme="0"/>
        <rFont val="Calibri"/>
        <family val="2"/>
        <scheme val="minor"/>
      </rPr>
      <t xml:space="preserve">c </t>
    </r>
    <r>
      <rPr>
        <b/>
        <sz val="14"/>
        <color theme="0"/>
        <rFont val="Calibri"/>
        <family val="2"/>
        <scheme val="minor"/>
      </rPr>
      <t>($)</t>
    </r>
  </si>
  <si>
    <r>
      <t>Films-Occlusal &amp; Bitewings</t>
    </r>
    <r>
      <rPr>
        <b/>
        <vertAlign val="superscript"/>
        <sz val="14"/>
        <color theme="0"/>
        <rFont val="Calibri"/>
        <family val="2"/>
        <scheme val="minor"/>
      </rPr>
      <t xml:space="preserve">c </t>
    </r>
    <r>
      <rPr>
        <b/>
        <sz val="14"/>
        <color theme="0"/>
        <rFont val="Calibri"/>
        <family val="2"/>
        <scheme val="minor"/>
      </rPr>
      <t>($)</t>
    </r>
  </si>
  <si>
    <t>USED FOR DEMONSTRATION ONLY:  DO NOT CIRCULATE</t>
  </si>
  <si>
    <r>
      <t xml:space="preserve">c)  These specific procedures </t>
    </r>
    <r>
      <rPr>
        <sz val="11"/>
        <color theme="1"/>
        <rFont val="Calibri"/>
        <family val="2"/>
        <scheme val="minor"/>
      </rPr>
      <t xml:space="preserve">were those that were most commonly identified as being apart of the operating room visit for the completion of FMDRs. </t>
    </r>
  </si>
  <si>
    <r>
      <t>Average Number of Crowns Per Child</t>
    </r>
    <r>
      <rPr>
        <b/>
        <vertAlign val="superscript"/>
        <sz val="14"/>
        <color theme="0"/>
        <rFont val="Calibri"/>
        <family val="2"/>
        <scheme val="minor"/>
      </rPr>
      <t>b</t>
    </r>
  </si>
  <si>
    <r>
      <t>Average Number of Teeth Filled per child</t>
    </r>
    <r>
      <rPr>
        <b/>
        <vertAlign val="superscript"/>
        <sz val="14"/>
        <color theme="0"/>
        <rFont val="Calibri"/>
        <family val="2"/>
        <scheme val="minor"/>
      </rPr>
      <t>c</t>
    </r>
  </si>
  <si>
    <t>Proporation of FMDRS</t>
  </si>
  <si>
    <t>Proportion of FMDR</t>
  </si>
  <si>
    <t>Caries Tx/child</t>
  </si>
  <si>
    <t>Caries per tooth</t>
  </si>
  <si>
    <t>Carie Tx/child</t>
  </si>
  <si>
    <t>Average # carious teeth per child</t>
  </si>
  <si>
    <t xml:space="preserve"> Total Annual No. of Undiscounted Procedures averted</t>
  </si>
  <si>
    <t>Current Carie $</t>
  </si>
  <si>
    <t xml:space="preserve"> Ideal Carie $</t>
  </si>
  <si>
    <t xml:space="preserve"> Total Annual No. of Undiscounted Procedures averted by Min Eff Rate </t>
  </si>
  <si>
    <t>Ideal Carie $</t>
  </si>
  <si>
    <t xml:space="preserve"> Total Annual No. of Undiscounted Procedures averted by Max Eff Rate</t>
  </si>
  <si>
    <t>No. Caries/tooth</t>
  </si>
  <si>
    <t>Proportion of carious children in pop</t>
  </si>
  <si>
    <t>Total Annual Undiscounted Cost of Averting Procedures per child</t>
  </si>
  <si>
    <t>Total Annual Cost of Averting Undiscounted Procedures per child</t>
  </si>
  <si>
    <r>
      <t>Number of Children Receiving One or More Fillings (only)</t>
    </r>
    <r>
      <rPr>
        <b/>
        <vertAlign val="superscript"/>
        <sz val="12"/>
        <color theme="0"/>
        <rFont val="Calibri"/>
        <family val="2"/>
        <scheme val="minor"/>
      </rPr>
      <t>c</t>
    </r>
  </si>
  <si>
    <r>
      <t>Number of Children Receiving One or More Crowns (Only)</t>
    </r>
    <r>
      <rPr>
        <b/>
        <vertAlign val="superscript"/>
        <sz val="14"/>
        <color theme="0"/>
        <rFont val="Calibri"/>
        <family val="2"/>
        <scheme val="minor"/>
      </rPr>
      <t>b</t>
    </r>
  </si>
  <si>
    <t>Number of Children Receiving One or More Crown and Fillings</t>
  </si>
  <si>
    <t>Mean Treatment Cost of Crown Only</t>
  </si>
  <si>
    <t>Mean Treatment Cost of Filling  Only</t>
  </si>
  <si>
    <t>Mean Treatment Cost of Both Crown &amp; Filling</t>
  </si>
  <si>
    <r>
      <rPr>
        <b/>
        <sz val="11"/>
        <color theme="1"/>
        <rFont val="Calibri"/>
        <family val="2"/>
        <scheme val="minor"/>
      </rPr>
      <t xml:space="preserve">a) Total Number of Children treated for Caries </t>
    </r>
    <r>
      <rPr>
        <sz val="11"/>
        <color theme="1"/>
        <rFont val="Calibri"/>
        <family val="2"/>
        <scheme val="minor"/>
      </rPr>
      <t xml:space="preserve">was obtained from the 2011 YKHC Dental Procedure Visits, supplied by Dana Bruden.  </t>
    </r>
  </si>
  <si>
    <t>Average Number of Crowns and/or Fillings per child</t>
  </si>
  <si>
    <t>Weighted Total for Number of Caries</t>
  </si>
  <si>
    <t>Weighted Totals</t>
  </si>
  <si>
    <t xml:space="preserve">Assumptions: </t>
  </si>
  <si>
    <t>(1)    The number of FMDRs completed (i.e., 161 children in YK Delta) were performed on unique individuals with each child receiving only one general anesthesia procedure within a given year.</t>
  </si>
  <si>
    <r>
      <t xml:space="preserve">        </t>
    </r>
    <r>
      <rPr>
        <b/>
        <i/>
        <sz val="11"/>
        <color theme="1"/>
        <rFont val="Calibri"/>
        <family val="2"/>
        <scheme val="minor"/>
      </rPr>
      <t>that received</t>
    </r>
    <r>
      <rPr>
        <sz val="11"/>
        <color theme="1"/>
        <rFont val="Calibri"/>
        <family val="2"/>
        <scheme val="minor"/>
      </rPr>
      <t xml:space="preserve"> </t>
    </r>
    <r>
      <rPr>
        <b/>
        <i/>
        <sz val="11"/>
        <color theme="1"/>
        <rFont val="Calibri"/>
        <family val="2"/>
        <scheme val="minor"/>
      </rPr>
      <t>caries treatment (placement of crowns and/or fillings) in Year 2011.</t>
    </r>
  </si>
  <si>
    <t xml:space="preserve">(2) The 161 FMDRs completed were performed on children not counted as receiving caries in the same year.  Therefore, these children are not considered to be a part of the total number of children </t>
  </si>
  <si>
    <t>Caries Incidence</t>
  </si>
  <si>
    <t>FMDR (min)</t>
  </si>
  <si>
    <t>FMDR Incidence</t>
  </si>
  <si>
    <r>
      <rPr>
        <b/>
        <sz val="11"/>
        <color theme="1"/>
        <rFont val="Calibri"/>
        <family val="2"/>
        <scheme val="minor"/>
      </rPr>
      <t>c) Recommended number of sealants for children</t>
    </r>
    <r>
      <rPr>
        <sz val="11"/>
        <color theme="1"/>
        <rFont val="Calibri"/>
        <family val="2"/>
        <scheme val="minor"/>
      </rPr>
      <t xml:space="preserve"> as reported by Dane Laneaker is upto 8 teeth (primary molars only) per child before their third birthday.  </t>
    </r>
  </si>
  <si>
    <t xml:space="preserve">     Children have on average 28 teeth until their 18th birthday, thus the proportion of molars in a child's mouth is .29</t>
  </si>
  <si>
    <t>Update dental sealants effectiveness</t>
  </si>
  <si>
    <t>Remove protective restoration, add caries incidence, and update number of fillings, crowns, and fillings/crowns</t>
  </si>
  <si>
    <t>Include all cost information, caries proportion and FMDR proportion</t>
  </si>
  <si>
    <t>Total Number of FMDRs Completed</t>
  </si>
  <si>
    <t>Weighted proportion of FMDRs to Total Caries Procedures</t>
  </si>
  <si>
    <t>Total Number of Procedures Completed (FMDRS + Total Caries Treatment)</t>
  </si>
  <si>
    <t>Weighted Treatment cost per FMDR</t>
  </si>
  <si>
    <t xml:space="preserve">Treatment Cost per Child per FMDR Visit ($) </t>
  </si>
  <si>
    <t xml:space="preserve"> Weighted Caries Treatment cost per Child</t>
  </si>
  <si>
    <t>Total Mean Caries Treatment Cost per child</t>
  </si>
  <si>
    <t xml:space="preserve">Total Weighted Treatment cost </t>
  </si>
  <si>
    <t>Update dental sealants calculations, weighted FMDR, and total weighted treatment cost for CEA calculations</t>
  </si>
  <si>
    <t>Total Number of Caries Treatment Procedures</t>
  </si>
  <si>
    <t>Total FMDR Treatment cost per Child</t>
  </si>
  <si>
    <t>Proportion of children  with one or more crowns/fillings</t>
  </si>
  <si>
    <t>(min)</t>
  </si>
  <si>
    <t>(max)</t>
  </si>
  <si>
    <t>Current Treatment $</t>
  </si>
  <si>
    <t>Ideal Treatment $</t>
  </si>
  <si>
    <t>Current # Averted</t>
  </si>
  <si>
    <t>Ideal # Averted</t>
  </si>
  <si>
    <t>Undiscounted Annual # of  Averted Procedures</t>
  </si>
  <si>
    <t>Dental Sealants True Eff</t>
  </si>
  <si>
    <t>Total Wgt Cost per child</t>
  </si>
  <si>
    <t>Undiscounted Annual</t>
  </si>
  <si>
    <t>Average # of Carious Teeth per child</t>
  </si>
  <si>
    <t>Current Pop</t>
  </si>
  <si>
    <t>Ideal pop</t>
  </si>
  <si>
    <t># Carious Teeth</t>
  </si>
  <si>
    <t># of Carious Teeth</t>
  </si>
  <si>
    <t>Ideal proc</t>
  </si>
  <si>
    <t>Max Current $</t>
  </si>
  <si>
    <t>Min Current $</t>
  </si>
  <si>
    <t>Min Ideal $</t>
  </si>
  <si>
    <t>Max Ideal $</t>
  </si>
  <si>
    <t>Current  Min</t>
  </si>
  <si>
    <t>Current Max</t>
  </si>
  <si>
    <t>Ideal Min</t>
  </si>
  <si>
    <t>Ideal Max</t>
  </si>
  <si>
    <t>Total Incidence of Children Receiving Treatment</t>
  </si>
  <si>
    <t>Caries  Incidence (per child)</t>
  </si>
  <si>
    <t>FMDR Incidence (per child)</t>
  </si>
  <si>
    <t>INTERMEDIATE RESULTS: PREVENTION EFFECTIVENESS COST</t>
  </si>
  <si>
    <t>FINAL RESULTS: COST EFFECTIVENESS ANALYSIS</t>
  </si>
  <si>
    <r>
      <t>Number of Caries at Ideal Coverage     (</t>
    </r>
    <r>
      <rPr>
        <b/>
        <i/>
        <sz val="14"/>
        <rFont val="Calibri"/>
        <family val="2"/>
        <scheme val="minor"/>
      </rPr>
      <t>Max Eff</t>
    </r>
    <r>
      <rPr>
        <b/>
        <sz val="14"/>
        <rFont val="Calibri"/>
        <family val="2"/>
        <scheme val="minor"/>
      </rPr>
      <t>)</t>
    </r>
  </si>
  <si>
    <t>Discounted Number of Children Averting Complete Caries Treatment</t>
  </si>
  <si>
    <t>Discounted Cost Averted ($)</t>
  </si>
  <si>
    <r>
      <t xml:space="preserve"> Total Number at Current Coverage  (</t>
    </r>
    <r>
      <rPr>
        <b/>
        <i/>
        <sz val="14"/>
        <rFont val="Calibri"/>
        <family val="2"/>
        <scheme val="minor"/>
      </rPr>
      <t>Min Eff</t>
    </r>
    <r>
      <rPr>
        <b/>
        <sz val="14"/>
        <rFont val="Calibri"/>
        <family val="2"/>
        <scheme val="minor"/>
      </rPr>
      <t>)</t>
    </r>
  </si>
  <si>
    <t>Mean Treatment Cost per Child w/Caries</t>
  </si>
  <si>
    <t>Select here to obtain the full list of averted procedures</t>
  </si>
  <si>
    <t>*Incremental costs is defined as the additional cost needed to avert the additional number of carious procedures produced when the population increases from the current coverage to ideal coverage.</t>
  </si>
  <si>
    <t xml:space="preserve">Select here to obtain the full list of calculations </t>
  </si>
  <si>
    <t>***CALCULATIONS PAGE: DO NOT CHANGE***  Total Carious Procedures</t>
  </si>
  <si>
    <t>% of pop receiving carious treatment</t>
  </si>
  <si>
    <t>Added the CEA for total carious treatment, updated all costs, and included background information.  Updated sealant molar information.</t>
  </si>
  <si>
    <t>Average # of Caries teeth per child</t>
  </si>
  <si>
    <t xml:space="preserve"> Include totals for CEA, totla discounting, and health outcomes averted</t>
  </si>
  <si>
    <t xml:space="preserve"> addition of a CEA_actual table to the final results</t>
  </si>
  <si>
    <t>Double check of calculations for population coverage</t>
  </si>
  <si>
    <r>
      <t xml:space="preserve">Water Fluoridation </t>
    </r>
    <r>
      <rPr>
        <b/>
        <vertAlign val="superscript"/>
        <sz val="12"/>
        <color theme="1"/>
        <rFont val="Calibri"/>
        <family val="2"/>
        <scheme val="minor"/>
      </rPr>
      <t>a,b</t>
    </r>
  </si>
  <si>
    <r>
      <t xml:space="preserve">Dental Sealants </t>
    </r>
    <r>
      <rPr>
        <b/>
        <vertAlign val="superscript"/>
        <sz val="12"/>
        <color theme="1"/>
        <rFont val="Calibri"/>
        <family val="2"/>
        <scheme val="minor"/>
      </rPr>
      <t>c,d,e</t>
    </r>
  </si>
  <si>
    <r>
      <t xml:space="preserve">Flouride Varnish </t>
    </r>
    <r>
      <rPr>
        <b/>
        <vertAlign val="superscript"/>
        <sz val="12"/>
        <color theme="1"/>
        <rFont val="Calibri"/>
        <family val="2"/>
        <scheme val="minor"/>
      </rPr>
      <t>f,g,h</t>
    </r>
  </si>
  <si>
    <r>
      <t xml:space="preserve">Toothbrush/Toothpaste </t>
    </r>
    <r>
      <rPr>
        <b/>
        <vertAlign val="superscript"/>
        <sz val="12"/>
        <color theme="1"/>
        <rFont val="Calibri"/>
        <family val="2"/>
        <scheme val="minor"/>
      </rPr>
      <t>j,k</t>
    </r>
  </si>
  <si>
    <r>
      <t xml:space="preserve">Initial Exam w/dental education </t>
    </r>
    <r>
      <rPr>
        <b/>
        <vertAlign val="superscript"/>
        <sz val="12"/>
        <color theme="1"/>
        <rFont val="Calibri"/>
        <family val="2"/>
        <scheme val="minor"/>
      </rPr>
      <t>l,m</t>
    </r>
  </si>
  <si>
    <t>6-18 months</t>
  </si>
  <si>
    <r>
      <t>Average Annual Number of Varnish App per Child</t>
    </r>
    <r>
      <rPr>
        <b/>
        <vertAlign val="superscript"/>
        <sz val="16"/>
        <color theme="0"/>
        <rFont val="Calibri"/>
        <family val="2"/>
        <scheme val="minor"/>
      </rPr>
      <t>b</t>
    </r>
  </si>
  <si>
    <t>Intervention</t>
  </si>
  <si>
    <t xml:space="preserve">Cases Averted </t>
  </si>
  <si>
    <t>min</t>
  </si>
  <si>
    <t>max</t>
  </si>
  <si>
    <t>Tooth brush</t>
  </si>
  <si>
    <t>Current</t>
  </si>
  <si>
    <t>Ideal</t>
  </si>
  <si>
    <t>Program $</t>
  </si>
  <si>
    <t xml:space="preserve"> Total Annual No. of Undiscounted Procedures averted by Eff Rate (min,max)</t>
  </si>
  <si>
    <t>Eff</t>
  </si>
  <si>
    <t>Avert Caries</t>
  </si>
  <si>
    <t>Tot Program $</t>
  </si>
  <si>
    <t>Tot Avert $</t>
  </si>
  <si>
    <t>Avert $ per chid</t>
  </si>
  <si>
    <t>Correction to average number of crowns, fillings per child</t>
  </si>
  <si>
    <t>Children w/cavities</t>
  </si>
  <si>
    <t>Number of cavities</t>
  </si>
  <si>
    <t>$ per child covered</t>
  </si>
  <si>
    <t>Number of Children Receiving Both Crown &amp; Filling</t>
  </si>
  <si>
    <t>amonst total pop</t>
  </si>
  <si>
    <r>
      <t>No. Children receiving 1 or more fillings</t>
    </r>
    <r>
      <rPr>
        <b/>
        <vertAlign val="superscript"/>
        <sz val="12"/>
        <color theme="0"/>
        <rFont val="Calibri"/>
        <family val="2"/>
        <scheme val="minor"/>
      </rPr>
      <t>c</t>
    </r>
  </si>
  <si>
    <r>
      <t>No. of Children receiving 1 or more Crowns</t>
    </r>
    <r>
      <rPr>
        <b/>
        <vertAlign val="superscript"/>
        <sz val="14"/>
        <color theme="0"/>
        <rFont val="Calibri"/>
        <family val="2"/>
        <scheme val="minor"/>
      </rPr>
      <t>b</t>
    </r>
  </si>
  <si>
    <r>
      <rPr>
        <b/>
        <sz val="11"/>
        <color theme="1"/>
        <rFont val="Calibri"/>
        <family val="2"/>
        <scheme val="minor"/>
      </rPr>
      <t>c)  Number of children with Fillings</t>
    </r>
    <r>
      <rPr>
        <sz val="11"/>
        <color theme="1"/>
        <rFont val="Calibri"/>
        <family val="2"/>
        <scheme val="minor"/>
      </rPr>
      <t xml:space="preserve"> amongst children with fillings is the number of children that were seen in 2011 that used resin and amalgam anterior fillings only for the treatment of caries.</t>
    </r>
  </si>
  <si>
    <r>
      <t>Total Average Mean</t>
    </r>
    <r>
      <rPr>
        <b/>
        <u/>
        <vertAlign val="superscript"/>
        <sz val="16"/>
        <color theme="10"/>
        <rFont val="Calibri"/>
        <family val="2"/>
        <scheme val="minor"/>
      </rPr>
      <t>f</t>
    </r>
  </si>
  <si>
    <r>
      <rPr>
        <b/>
        <sz val="11"/>
        <color theme="1"/>
        <rFont val="Calibri"/>
        <family val="2"/>
        <scheme val="minor"/>
      </rPr>
      <t>e,f)</t>
    </r>
    <r>
      <rPr>
        <sz val="11"/>
        <color theme="1"/>
        <rFont val="Calibri"/>
        <family val="2"/>
        <scheme val="minor"/>
      </rPr>
      <t xml:space="preserve"> The total number of children (</t>
    </r>
    <r>
      <rPr>
        <u/>
        <sz val="11"/>
        <color theme="1"/>
        <rFont val="Calibri"/>
        <family val="2"/>
        <scheme val="minor"/>
      </rPr>
      <t>across all age groups</t>
    </r>
    <r>
      <rPr>
        <sz val="11"/>
        <color theme="1"/>
        <rFont val="Calibri"/>
        <family val="2"/>
        <scheme val="minor"/>
      </rPr>
      <t xml:space="preserve">)receiving crowns, fillings, and/or both crowns and fillings are given in black.  Whereas, the values presented in </t>
    </r>
    <r>
      <rPr>
        <b/>
        <sz val="11"/>
        <color rgb="FFFF0000"/>
        <rFont val="Calibri"/>
        <family val="2"/>
        <scheme val="minor"/>
      </rPr>
      <t>red</t>
    </r>
    <r>
      <rPr>
        <b/>
        <sz val="11"/>
        <color theme="1"/>
        <rFont val="Calibri"/>
        <family val="2"/>
        <scheme val="minor"/>
      </rPr>
      <t xml:space="preserve"> </t>
    </r>
    <r>
      <rPr>
        <sz val="11"/>
        <color theme="1"/>
        <rFont val="Calibri"/>
        <family val="2"/>
        <scheme val="minor"/>
      </rPr>
      <t xml:space="preserve">are the average mean values </t>
    </r>
    <r>
      <rPr>
        <u/>
        <sz val="11"/>
        <color theme="1"/>
        <rFont val="Calibri"/>
        <family val="2"/>
        <scheme val="minor"/>
      </rPr>
      <t>across all age groups</t>
    </r>
    <r>
      <rPr>
        <sz val="11"/>
        <color theme="1"/>
        <rFont val="Calibri"/>
        <family val="2"/>
        <scheme val="minor"/>
      </rPr>
      <t>.</t>
    </r>
  </si>
  <si>
    <t xml:space="preserve"> Total Number of Children Receiving at least 1 Crown, 1 Filling, or both Crown &amp; Filling</t>
  </si>
  <si>
    <t>Crown Placement Mean Cost ($)</t>
  </si>
  <si>
    <r>
      <t>Filling Mean Cost ($) per tooth</t>
    </r>
    <r>
      <rPr>
        <b/>
        <vertAlign val="superscript"/>
        <sz val="16"/>
        <color theme="0"/>
        <rFont val="Calibri"/>
        <family val="2"/>
        <scheme val="minor"/>
      </rPr>
      <t>d</t>
    </r>
  </si>
  <si>
    <r>
      <rPr>
        <b/>
        <sz val="11"/>
        <color theme="1"/>
        <rFont val="Calibri"/>
        <family val="2"/>
        <scheme val="minor"/>
      </rPr>
      <t>b) Number of children receiving one or more crowns</t>
    </r>
    <r>
      <rPr>
        <sz val="11"/>
        <color theme="1"/>
        <rFont val="Calibri"/>
        <family val="2"/>
        <scheme val="minor"/>
      </rPr>
      <t xml:space="preserve"> amongst children with crowns was obtained from Dana Bruden and Richard Baum.  The median number of crowns per child on average was 5.47.</t>
    </r>
  </si>
  <si>
    <t xml:space="preserve"> Current Annual Mean Cost of Treating Children w/Caries</t>
  </si>
  <si>
    <t>Slade GD, Bailie RS, et al.  Effect of health promotion and fluoride varnish on dental caries among Australian Aboriginal children: results from a community-randomized controlled trial. Community Dent Oral Epidemiol. 2011;39(1):29-43. PMID: 20707872.</t>
  </si>
  <si>
    <t>Marinho, VC, et al/ "Fluoride toothpastes for preventing dental caries in children and adolescents." Cochran Review, 2003.</t>
  </si>
  <si>
    <r>
      <t>Incremental Cost per Carie Averted*at Ideal Coverage (</t>
    </r>
    <r>
      <rPr>
        <b/>
        <i/>
        <sz val="14"/>
        <rFont val="Calibri"/>
        <family val="2"/>
        <scheme val="minor"/>
      </rPr>
      <t>Min Eff</t>
    </r>
    <r>
      <rPr>
        <b/>
        <sz val="14"/>
        <rFont val="Calibri"/>
        <family val="2"/>
        <scheme val="minor"/>
      </rPr>
      <t>)</t>
    </r>
  </si>
  <si>
    <t xml:space="preserve">     Aggregage values for treatment:  22 received crowns only, 32 received fillings only, and 134 received both crowns and fillings producing 188 children receiving atleast 1 crown, 1 filling, and or both crown and filling</t>
  </si>
  <si>
    <r>
      <t>Cost per FMDR Procedure Averted  at Current Coverage (</t>
    </r>
    <r>
      <rPr>
        <b/>
        <i/>
        <sz val="14"/>
        <rFont val="Calibri"/>
        <family val="2"/>
        <scheme val="minor"/>
      </rPr>
      <t>Min Eff</t>
    </r>
    <r>
      <rPr>
        <b/>
        <sz val="14"/>
        <rFont val="Calibri"/>
        <family val="2"/>
        <scheme val="minor"/>
      </rPr>
      <t>)</t>
    </r>
  </si>
  <si>
    <r>
      <t>Cost per FMDR Procedure Averted at Current Coverage (</t>
    </r>
    <r>
      <rPr>
        <b/>
        <i/>
        <sz val="14"/>
        <rFont val="Calibri"/>
        <family val="2"/>
        <scheme val="minor"/>
      </rPr>
      <t>Max Eff</t>
    </r>
    <r>
      <rPr>
        <b/>
        <sz val="14"/>
        <rFont val="Calibri"/>
        <family val="2"/>
        <scheme val="minor"/>
      </rPr>
      <t>)</t>
    </r>
  </si>
  <si>
    <r>
      <t xml:space="preserve"> Incremental Cost per FMDR Procedure Averted at Ideal Coverage                (</t>
    </r>
    <r>
      <rPr>
        <b/>
        <i/>
        <sz val="14"/>
        <rFont val="Calibri"/>
        <family val="2"/>
        <scheme val="minor"/>
      </rPr>
      <t>Min Eff</t>
    </r>
    <r>
      <rPr>
        <b/>
        <sz val="14"/>
        <rFont val="Calibri"/>
        <family val="2"/>
        <scheme val="minor"/>
      </rPr>
      <t>)</t>
    </r>
  </si>
  <si>
    <r>
      <t>Incremental Cost per FMDR Procedure Averted at Ideal Coverage             (</t>
    </r>
    <r>
      <rPr>
        <b/>
        <i/>
        <sz val="14"/>
        <rFont val="Calibri"/>
        <family val="2"/>
        <scheme val="minor"/>
      </rPr>
      <t>Max Eff</t>
    </r>
    <r>
      <rPr>
        <b/>
        <sz val="14"/>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</si>
</sst>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quot;$&quot;#,##0.00"/>
    <numFmt numFmtId="165" formatCode="&quot;$&quot;#,##0"/>
    <numFmt numFmtId="166" formatCode="[$-409]mmmm\ d\,\ yyyy;@"/>
    <numFmt numFmtId="167" formatCode="_(* #,##0_);_(* \(#,##0\);_(* &quot;-&quot;??_);_(@_)"/>
    <numFmt numFmtId="168" formatCode="0.0"/>
    <numFmt numFmtId="169" formatCode="0.000"/>
    <numFmt numFmtId="170" formatCode="0.00000"/>
    <numFmt numFmtId="171" formatCode="#,##0.0000_);\(#,##0.0000\)"/>
    <numFmt numFmtId="172" formatCode="[$$-409]#,##0.00_);\([$$-409]#,##0.00\)"/>
    <numFmt numFmtId="173" formatCode="0.0%"/>
  </numFmts>
  <fonts count="64" x14ac:knownFonts="1">
    <font>
      <sz val="11"/>
      <color theme="1"/>
      <name val="Calibri"/>
      <family val="2"/>
      <scheme val="minor"/>
    </font>
    <font>
      <b/>
      <sz val="11"/>
      <color theme="1"/>
      <name val="Calibri"/>
      <family val="2"/>
      <scheme val="minor"/>
    </font>
    <font>
      <b/>
      <sz val="14"/>
      <color theme="1"/>
      <name val="Calibri"/>
      <family val="2"/>
      <scheme val="minor"/>
    </font>
    <font>
      <b/>
      <sz val="36"/>
      <color theme="3"/>
      <name val="Calibri"/>
      <family val="2"/>
      <scheme val="minor"/>
    </font>
    <font>
      <b/>
      <sz val="14"/>
      <color theme="0"/>
      <name val="Calibri"/>
      <family val="2"/>
      <scheme val="minor"/>
    </font>
    <font>
      <sz val="14"/>
      <color theme="1"/>
      <name val="Calibri"/>
      <family val="2"/>
      <scheme val="minor"/>
    </font>
    <font>
      <sz val="11"/>
      <color theme="1"/>
      <name val="Calibri"/>
      <family val="2"/>
      <scheme val="minor"/>
    </font>
    <font>
      <b/>
      <sz val="12"/>
      <color theme="1"/>
      <name val="Calibri"/>
      <family val="2"/>
      <scheme val="minor"/>
    </font>
    <font>
      <b/>
      <sz val="14"/>
      <name val="Calibri"/>
      <family val="2"/>
      <scheme val="minor"/>
    </font>
    <font>
      <sz val="11"/>
      <color rgb="FFFF0000"/>
      <name val="Calibri"/>
      <family val="2"/>
      <scheme val="minor"/>
    </font>
    <font>
      <b/>
      <sz val="14"/>
      <color rgb="FFFF0000"/>
      <name val="Calibri"/>
      <family val="2"/>
      <scheme val="minor"/>
    </font>
    <font>
      <b/>
      <sz val="32"/>
      <color theme="3"/>
      <name val="Calibri"/>
      <family val="2"/>
      <scheme val="minor"/>
    </font>
    <font>
      <i/>
      <sz val="11"/>
      <color theme="1"/>
      <name val="Calibri"/>
      <family val="2"/>
      <scheme val="minor"/>
    </font>
    <font>
      <b/>
      <i/>
      <sz val="11"/>
      <color rgb="FFFF0000"/>
      <name val="Calibri"/>
      <family val="2"/>
      <scheme val="minor"/>
    </font>
    <font>
      <sz val="12"/>
      <color theme="1"/>
      <name val="Calibri"/>
      <family val="2"/>
      <scheme val="minor"/>
    </font>
    <font>
      <b/>
      <sz val="12"/>
      <name val="Calibri"/>
      <family val="2"/>
      <scheme val="minor"/>
    </font>
    <font>
      <b/>
      <vertAlign val="superscript"/>
      <sz val="12"/>
      <color theme="1"/>
      <name val="Calibri"/>
      <family val="2"/>
      <scheme val="minor"/>
    </font>
    <font>
      <b/>
      <i/>
      <sz val="12"/>
      <color theme="1"/>
      <name val="Calibri"/>
      <family val="2"/>
      <scheme val="minor"/>
    </font>
    <font>
      <b/>
      <i/>
      <sz val="14"/>
      <color theme="1"/>
      <name val="Calibri"/>
      <family val="2"/>
      <scheme val="minor"/>
    </font>
    <font>
      <b/>
      <i/>
      <sz val="20"/>
      <name val="Calibri"/>
      <family val="2"/>
      <scheme val="minor"/>
    </font>
    <font>
      <b/>
      <sz val="36"/>
      <name val="Calibri"/>
      <family val="2"/>
      <scheme val="minor"/>
    </font>
    <font>
      <i/>
      <sz val="12"/>
      <color theme="1"/>
      <name val="Calibri"/>
      <family val="2"/>
      <scheme val="minor"/>
    </font>
    <font>
      <i/>
      <sz val="13"/>
      <color theme="3"/>
      <name val="Calibri"/>
      <family val="2"/>
      <scheme val="minor"/>
    </font>
    <font>
      <b/>
      <sz val="11"/>
      <color rgb="FFFF0000"/>
      <name val="Calibri"/>
      <family val="2"/>
      <scheme val="minor"/>
    </font>
    <font>
      <b/>
      <sz val="20"/>
      <color theme="1"/>
      <name val="Calibri"/>
      <family val="2"/>
      <scheme val="minor"/>
    </font>
    <font>
      <sz val="11"/>
      <name val="Calibri"/>
      <family val="2"/>
      <scheme val="minor"/>
    </font>
    <font>
      <b/>
      <vertAlign val="superscript"/>
      <sz val="16"/>
      <color theme="0"/>
      <name val="Calibri"/>
      <family val="2"/>
      <scheme val="minor"/>
    </font>
    <font>
      <b/>
      <vertAlign val="superscript"/>
      <sz val="14"/>
      <color theme="0"/>
      <name val="Calibri"/>
      <family val="2"/>
      <scheme val="minor"/>
    </font>
    <font>
      <b/>
      <i/>
      <sz val="11"/>
      <color theme="1"/>
      <name val="Calibri"/>
      <family val="2"/>
      <scheme val="minor"/>
    </font>
    <font>
      <b/>
      <i/>
      <sz val="9"/>
      <color rgb="FFFF0000"/>
      <name val="Calibri"/>
      <family val="2"/>
      <scheme val="minor"/>
    </font>
    <font>
      <sz val="10"/>
      <name val="Arial"/>
      <family val="2"/>
    </font>
    <font>
      <b/>
      <u/>
      <sz val="10"/>
      <name val="Arial"/>
      <family val="2"/>
    </font>
    <font>
      <b/>
      <sz val="14"/>
      <name val="Arial"/>
      <family val="2"/>
    </font>
    <font>
      <b/>
      <i/>
      <sz val="14"/>
      <name val="Calibri"/>
      <family val="2"/>
      <scheme val="minor"/>
    </font>
    <font>
      <b/>
      <sz val="13"/>
      <color theme="0"/>
      <name val="Calibri"/>
      <family val="2"/>
      <scheme val="minor"/>
    </font>
    <font>
      <b/>
      <i/>
      <sz val="14"/>
      <color rgb="FFFF0000"/>
      <name val="Calibri"/>
      <family val="2"/>
      <scheme val="minor"/>
    </font>
    <font>
      <i/>
      <sz val="13"/>
      <color rgb="FF294A71"/>
      <name val="Calibri"/>
      <family val="2"/>
      <scheme val="minor"/>
    </font>
    <font>
      <sz val="13"/>
      <color theme="1"/>
      <name val="Calibri"/>
      <family val="2"/>
      <scheme val="minor"/>
    </font>
    <font>
      <b/>
      <sz val="28"/>
      <color theme="1"/>
      <name val="Calibri"/>
      <family val="2"/>
      <scheme val="minor"/>
    </font>
    <font>
      <b/>
      <sz val="11"/>
      <color rgb="FF294A71"/>
      <name val="Calibri"/>
      <family val="2"/>
      <scheme val="minor"/>
    </font>
    <font>
      <sz val="11"/>
      <color rgb="FF294A71"/>
      <name val="Calibri"/>
      <family val="2"/>
      <scheme val="minor"/>
    </font>
    <font>
      <i/>
      <sz val="11"/>
      <color theme="3"/>
      <name val="Calibri"/>
      <family val="2"/>
      <scheme val="minor"/>
    </font>
    <font>
      <i/>
      <sz val="11"/>
      <color rgb="FF294A71"/>
      <name val="Calibri"/>
      <family val="2"/>
      <scheme val="minor"/>
    </font>
    <font>
      <b/>
      <sz val="36"/>
      <color theme="1"/>
      <name val="Calibri"/>
      <family val="2"/>
      <scheme val="minor"/>
    </font>
    <font>
      <u/>
      <sz val="11"/>
      <color theme="1"/>
      <name val="Calibri"/>
      <family val="2"/>
      <scheme val="minor"/>
    </font>
    <font>
      <u/>
      <sz val="11"/>
      <color theme="10"/>
      <name val="Calibri"/>
      <family val="2"/>
      <scheme val="minor"/>
    </font>
    <font>
      <u/>
      <sz val="12"/>
      <color theme="10"/>
      <name val="Calibri"/>
      <family val="2"/>
      <scheme val="minor"/>
    </font>
    <font>
      <u/>
      <sz val="16"/>
      <color rgb="FFFF0000"/>
      <name val="Calibri"/>
      <family val="2"/>
      <scheme val="minor"/>
    </font>
    <font>
      <b/>
      <sz val="34"/>
      <color theme="3"/>
      <name val="Calibri"/>
      <family val="2"/>
      <scheme val="minor"/>
    </font>
    <font>
      <b/>
      <sz val="11"/>
      <color theme="0"/>
      <name val="Calibri"/>
      <family val="2"/>
      <scheme val="minor"/>
    </font>
    <font>
      <b/>
      <u/>
      <sz val="16"/>
      <color rgb="FFFF0000"/>
      <name val="Calibri"/>
      <family val="2"/>
      <scheme val="minor"/>
    </font>
    <font>
      <b/>
      <sz val="13"/>
      <color theme="1"/>
      <name val="Calibri"/>
      <family val="2"/>
      <scheme val="minor"/>
    </font>
    <font>
      <b/>
      <sz val="13"/>
      <name val="Calibri"/>
      <family val="2"/>
      <scheme val="minor"/>
    </font>
    <font>
      <sz val="11"/>
      <color theme="1"/>
      <name val="Calibri"/>
      <family val="2"/>
    </font>
    <font>
      <vertAlign val="superscript"/>
      <sz val="11"/>
      <color theme="1"/>
      <name val="Calibri"/>
      <family val="2"/>
      <scheme val="minor"/>
    </font>
    <font>
      <b/>
      <vertAlign val="superscript"/>
      <sz val="12"/>
      <color theme="0"/>
      <name val="Calibri"/>
      <family val="2"/>
      <scheme val="minor"/>
    </font>
    <font>
      <b/>
      <i/>
      <vertAlign val="superscript"/>
      <sz val="14"/>
      <color theme="1"/>
      <name val="Calibri"/>
      <family val="2"/>
      <scheme val="minor"/>
    </font>
    <font>
      <b/>
      <vertAlign val="superscript"/>
      <sz val="14"/>
      <color theme="1"/>
      <name val="Calibri"/>
      <family val="2"/>
      <scheme val="minor"/>
    </font>
    <font>
      <b/>
      <sz val="11"/>
      <name val="Calibri"/>
      <family val="2"/>
      <scheme val="minor"/>
    </font>
    <font>
      <b/>
      <sz val="12"/>
      <color rgb="FFFF0000"/>
      <name val="Calibri"/>
      <family val="2"/>
      <scheme val="minor"/>
    </font>
    <font>
      <b/>
      <sz val="14"/>
      <color theme="1"/>
      <name val="Calibri"/>
      <family val="2"/>
    </font>
    <font>
      <b/>
      <u/>
      <sz val="16"/>
      <color theme="10"/>
      <name val="Calibri"/>
      <family val="2"/>
      <scheme val="minor"/>
    </font>
    <font>
      <b/>
      <sz val="16"/>
      <name val="Calibri"/>
      <family val="2"/>
      <scheme val="minor"/>
    </font>
    <font>
      <b/>
      <u/>
      <vertAlign val="superscript"/>
      <sz val="16"/>
      <color theme="10"/>
      <name val="Calibri"/>
      <family val="2"/>
      <scheme val="minor"/>
    </font>
  </fonts>
  <fills count="23">
    <fill>
      <patternFill patternType="none"/>
    </fill>
    <fill>
      <patternFill patternType="gray125"/>
    </fill>
    <fill>
      <patternFill patternType="solid">
        <fgColor theme="3"/>
        <bgColor indexed="64"/>
      </patternFill>
    </fill>
    <fill>
      <patternFill patternType="solid">
        <fgColor theme="4"/>
        <bgColor indexed="64"/>
      </patternFill>
    </fill>
    <fill>
      <patternFill patternType="solid">
        <fgColor theme="4" tint="0.79998168889431442"/>
        <bgColor indexed="64"/>
      </patternFill>
    </fill>
    <fill>
      <gradientFill degree="90">
        <stop position="0">
          <color rgb="FFCC9B00"/>
        </stop>
        <stop position="0.5">
          <color rgb="FFFFC000"/>
        </stop>
        <stop position="1">
          <color rgb="FFCC9B00"/>
        </stop>
      </gradientFill>
    </fill>
    <fill>
      <patternFill patternType="solid">
        <fgColor theme="0"/>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79998168889431442"/>
        <bgColor auto="1"/>
      </patternFill>
    </fill>
    <fill>
      <patternFill patternType="solid">
        <fgColor rgb="FFC00000"/>
        <bgColor indexed="64"/>
      </patternFill>
    </fill>
    <fill>
      <patternFill patternType="solid">
        <fgColor rgb="FFFFC000"/>
        <bgColor indexed="64"/>
      </patternFill>
    </fill>
    <fill>
      <patternFill patternType="solid">
        <fgColor rgb="FFFFC000"/>
        <bgColor auto="1"/>
      </patternFill>
    </fill>
    <fill>
      <patternFill patternType="solid">
        <fgColor theme="0" tint="-0.34998626667073579"/>
        <bgColor indexed="64"/>
      </patternFill>
    </fill>
    <fill>
      <patternFill patternType="solid">
        <fgColor rgb="FFFFFF00"/>
        <bgColor indexed="64"/>
      </patternFill>
    </fill>
    <fill>
      <patternFill patternType="solid">
        <fgColor rgb="FF00B0F0"/>
        <bgColor indexed="64"/>
      </patternFill>
    </fill>
    <fill>
      <patternFill patternType="solid">
        <fgColor theme="0" tint="-0.14999847407452621"/>
        <bgColor indexed="64"/>
      </patternFill>
    </fill>
    <fill>
      <patternFill patternType="solid">
        <fgColor rgb="FF00B050"/>
        <bgColor indexed="64"/>
      </patternFill>
    </fill>
    <fill>
      <patternFill patternType="solid">
        <fgColor rgb="FF294A71"/>
        <bgColor indexed="64"/>
      </patternFill>
    </fill>
    <fill>
      <patternFill patternType="solid">
        <fgColor rgb="FFFF0000"/>
        <bgColor indexed="64"/>
      </patternFill>
    </fill>
    <fill>
      <patternFill patternType="solid">
        <fgColor rgb="FFCCECFF"/>
        <bgColor indexed="64"/>
      </patternFill>
    </fill>
    <fill>
      <patternFill patternType="solid">
        <fgColor rgb="FFF79646"/>
        <bgColor indexed="64"/>
      </patternFill>
    </fill>
    <fill>
      <patternFill patternType="solid">
        <fgColor rgb="FF0099FF"/>
        <bgColor indexed="64"/>
      </patternFill>
    </fill>
  </fills>
  <borders count="368">
    <border>
      <left/>
      <right/>
      <top/>
      <bottom/>
      <diagonal/>
    </border>
    <border>
      <left style="thick">
        <color theme="3"/>
      </left>
      <right style="thin">
        <color theme="3"/>
      </right>
      <top style="thick">
        <color theme="3"/>
      </top>
      <bottom style="thin">
        <color theme="3"/>
      </bottom>
      <diagonal/>
    </border>
    <border>
      <left style="thin">
        <color theme="3"/>
      </left>
      <right style="thick">
        <color theme="3"/>
      </right>
      <top style="thick">
        <color theme="3"/>
      </top>
      <bottom style="thin">
        <color theme="3"/>
      </bottom>
      <diagonal/>
    </border>
    <border>
      <left style="thick">
        <color theme="3"/>
      </left>
      <right style="thin">
        <color theme="3"/>
      </right>
      <top style="thin">
        <color theme="3"/>
      </top>
      <bottom style="thin">
        <color theme="3"/>
      </bottom>
      <diagonal/>
    </border>
    <border>
      <left/>
      <right/>
      <top/>
      <bottom style="medium">
        <color theme="3"/>
      </bottom>
      <diagonal/>
    </border>
    <border>
      <left style="thick">
        <color theme="3"/>
      </left>
      <right/>
      <top/>
      <bottom style="thin">
        <color theme="3"/>
      </bottom>
      <diagonal/>
    </border>
    <border>
      <left/>
      <right/>
      <top/>
      <bottom style="thin">
        <color theme="3"/>
      </bottom>
      <diagonal/>
    </border>
    <border>
      <left/>
      <right style="thick">
        <color theme="3"/>
      </right>
      <top/>
      <bottom/>
      <diagonal/>
    </border>
    <border>
      <left/>
      <right style="medium">
        <color theme="3"/>
      </right>
      <top/>
      <bottom/>
      <diagonal/>
    </border>
    <border>
      <left style="thick">
        <color theme="3"/>
      </left>
      <right style="thin">
        <color theme="3"/>
      </right>
      <top style="medium">
        <color theme="3"/>
      </top>
      <bottom/>
      <diagonal/>
    </border>
    <border>
      <left/>
      <right style="thin">
        <color theme="3"/>
      </right>
      <top style="thin">
        <color theme="3"/>
      </top>
      <bottom style="medium">
        <color theme="3"/>
      </bottom>
      <diagonal/>
    </border>
    <border>
      <left/>
      <right style="thin">
        <color theme="3"/>
      </right>
      <top style="medium">
        <color theme="3"/>
      </top>
      <bottom/>
      <diagonal/>
    </border>
    <border>
      <left/>
      <right style="thin">
        <color theme="3"/>
      </right>
      <top/>
      <bottom style="medium">
        <color theme="3"/>
      </bottom>
      <diagonal/>
    </border>
    <border>
      <left style="thin">
        <color theme="3"/>
      </left>
      <right style="thin">
        <color theme="3"/>
      </right>
      <top style="medium">
        <color theme="3"/>
      </top>
      <bottom/>
      <diagonal/>
    </border>
    <border>
      <left style="thin">
        <color theme="3"/>
      </left>
      <right/>
      <top/>
      <bottom/>
      <diagonal/>
    </border>
    <border>
      <left/>
      <right style="thin">
        <color theme="3"/>
      </right>
      <top/>
      <bottom/>
      <diagonal/>
    </border>
    <border>
      <left style="thin">
        <color theme="3"/>
      </left>
      <right style="thin">
        <color theme="3"/>
      </right>
      <top/>
      <bottom/>
      <diagonal/>
    </border>
    <border>
      <left style="thin">
        <color theme="3"/>
      </left>
      <right style="thin">
        <color theme="3"/>
      </right>
      <top style="thin">
        <color theme="3"/>
      </top>
      <bottom style="medium">
        <color theme="3"/>
      </bottom>
      <diagonal/>
    </border>
    <border>
      <left/>
      <right style="thin">
        <color theme="3"/>
      </right>
      <top style="thin">
        <color theme="3"/>
      </top>
      <bottom style="thin">
        <color theme="3"/>
      </bottom>
      <diagonal/>
    </border>
    <border>
      <left/>
      <right style="thin">
        <color theme="3"/>
      </right>
      <top style="thin">
        <color theme="3"/>
      </top>
      <bottom/>
      <diagonal/>
    </border>
    <border>
      <left style="medium">
        <color theme="3"/>
      </left>
      <right style="thin">
        <color theme="3"/>
      </right>
      <top/>
      <bottom/>
      <diagonal/>
    </border>
    <border>
      <left style="medium">
        <color theme="3"/>
      </left>
      <right style="thin">
        <color theme="3"/>
      </right>
      <top/>
      <bottom style="medium">
        <color theme="3"/>
      </bottom>
      <diagonal/>
    </border>
    <border>
      <left style="thin">
        <color theme="3"/>
      </left>
      <right style="thick">
        <color theme="3"/>
      </right>
      <top/>
      <bottom/>
      <diagonal/>
    </border>
    <border>
      <left style="thick">
        <color theme="3"/>
      </left>
      <right style="thick">
        <color theme="3"/>
      </right>
      <top style="thick">
        <color theme="3"/>
      </top>
      <bottom style="thin">
        <color theme="3"/>
      </bottom>
      <diagonal/>
    </border>
    <border>
      <left style="thick">
        <color theme="3"/>
      </left>
      <right style="thin">
        <color theme="3"/>
      </right>
      <top style="thin">
        <color theme="3"/>
      </top>
      <bottom style="thick">
        <color theme="3"/>
      </bottom>
      <diagonal/>
    </border>
    <border>
      <left/>
      <right/>
      <top/>
      <bottom style="thick">
        <color theme="3"/>
      </bottom>
      <diagonal/>
    </border>
    <border>
      <left style="thin">
        <color theme="3"/>
      </left>
      <right style="thin">
        <color theme="3"/>
      </right>
      <top/>
      <bottom style="thick">
        <color theme="3"/>
      </bottom>
      <diagonal/>
    </border>
    <border>
      <left/>
      <right style="thin">
        <color theme="3"/>
      </right>
      <top/>
      <bottom style="thick">
        <color theme="3"/>
      </bottom>
      <diagonal/>
    </border>
    <border>
      <left/>
      <right style="thick">
        <color theme="3"/>
      </right>
      <top/>
      <bottom style="thick">
        <color theme="3"/>
      </bottom>
      <diagonal/>
    </border>
    <border>
      <left style="thin">
        <color theme="3"/>
      </left>
      <right style="double">
        <color theme="3"/>
      </right>
      <top style="medium">
        <color theme="3"/>
      </top>
      <bottom/>
      <diagonal/>
    </border>
    <border>
      <left style="thin">
        <color theme="3"/>
      </left>
      <right style="double">
        <color theme="3"/>
      </right>
      <top/>
      <bottom style="thick">
        <color theme="3"/>
      </bottom>
      <diagonal/>
    </border>
    <border>
      <left style="thick">
        <color theme="3"/>
      </left>
      <right style="thin">
        <color theme="3"/>
      </right>
      <top/>
      <bottom style="thick">
        <color theme="3"/>
      </bottom>
      <diagonal/>
    </border>
    <border>
      <left/>
      <right style="double">
        <color theme="3"/>
      </right>
      <top style="medium">
        <color theme="3"/>
      </top>
      <bottom/>
      <diagonal/>
    </border>
    <border>
      <left/>
      <right style="double">
        <color theme="3"/>
      </right>
      <top/>
      <bottom style="thick">
        <color theme="3"/>
      </bottom>
      <diagonal/>
    </border>
    <border>
      <left style="thin">
        <color theme="3"/>
      </left>
      <right style="double">
        <color theme="3"/>
      </right>
      <top/>
      <bottom/>
      <diagonal/>
    </border>
    <border>
      <left/>
      <right style="thick">
        <color theme="3"/>
      </right>
      <top style="thin">
        <color theme="3"/>
      </top>
      <bottom/>
      <diagonal/>
    </border>
    <border>
      <left/>
      <right style="thick">
        <color theme="3"/>
      </right>
      <top style="thick">
        <color theme="3"/>
      </top>
      <bottom style="thin">
        <color theme="3"/>
      </bottom>
      <diagonal/>
    </border>
    <border>
      <left style="thin">
        <color theme="3"/>
      </left>
      <right style="double">
        <color theme="3"/>
      </right>
      <top style="thin">
        <color theme="3"/>
      </top>
      <bottom style="thick">
        <color theme="3"/>
      </bottom>
      <diagonal/>
    </border>
    <border>
      <left style="thin">
        <color theme="3"/>
      </left>
      <right style="double">
        <color theme="3"/>
      </right>
      <top style="thin">
        <color theme="3"/>
      </top>
      <bottom style="thin">
        <color theme="3"/>
      </bottom>
      <diagonal/>
    </border>
    <border>
      <left style="thick">
        <color theme="3"/>
      </left>
      <right style="thin">
        <color theme="3"/>
      </right>
      <top/>
      <bottom/>
      <diagonal/>
    </border>
    <border>
      <left/>
      <right/>
      <top style="thin">
        <color theme="3"/>
      </top>
      <bottom style="thin">
        <color theme="3"/>
      </bottom>
      <diagonal/>
    </border>
    <border>
      <left/>
      <right style="thin">
        <color rgb="FF315887"/>
      </right>
      <top/>
      <bottom/>
      <diagonal/>
    </border>
    <border>
      <left/>
      <right style="thin">
        <color rgb="FF315887"/>
      </right>
      <top/>
      <bottom style="thin">
        <color rgb="FF315887"/>
      </bottom>
      <diagonal/>
    </border>
    <border>
      <left style="medium">
        <color theme="3"/>
      </left>
      <right style="thin">
        <color theme="3"/>
      </right>
      <top/>
      <bottom style="thin">
        <color theme="3"/>
      </bottom>
      <diagonal/>
    </border>
    <border>
      <left style="thick">
        <color theme="3"/>
      </left>
      <right style="medium">
        <color theme="3"/>
      </right>
      <top style="thin">
        <color theme="3"/>
      </top>
      <bottom style="thin">
        <color theme="3"/>
      </bottom>
      <diagonal/>
    </border>
    <border>
      <left/>
      <right style="thin">
        <color rgb="FF315887"/>
      </right>
      <top style="thin">
        <color rgb="FF315887"/>
      </top>
      <bottom style="thin">
        <color rgb="FF315887"/>
      </bottom>
      <diagonal/>
    </border>
    <border>
      <left/>
      <right style="thick">
        <color theme="3"/>
      </right>
      <top/>
      <bottom style="thin">
        <color theme="3"/>
      </bottom>
      <diagonal/>
    </border>
    <border>
      <left style="double">
        <color theme="3"/>
      </left>
      <right style="thick">
        <color theme="3"/>
      </right>
      <top/>
      <bottom/>
      <diagonal/>
    </border>
    <border>
      <left/>
      <right style="double">
        <color theme="3"/>
      </right>
      <top/>
      <bottom/>
      <diagonal/>
    </border>
    <border>
      <left/>
      <right style="double">
        <color theme="3"/>
      </right>
      <top/>
      <bottom style="medium">
        <color theme="3"/>
      </bottom>
      <diagonal/>
    </border>
    <border>
      <left style="thick">
        <color theme="3"/>
      </left>
      <right/>
      <top/>
      <bottom/>
      <diagonal/>
    </border>
    <border>
      <left style="double">
        <color theme="3"/>
      </left>
      <right style="thin">
        <color theme="3"/>
      </right>
      <top/>
      <bottom/>
      <diagonal/>
    </border>
    <border>
      <left style="double">
        <color theme="3"/>
      </left>
      <right style="thin">
        <color theme="3"/>
      </right>
      <top style="medium">
        <color theme="3"/>
      </top>
      <bottom/>
      <diagonal/>
    </border>
    <border>
      <left style="double">
        <color theme="3"/>
      </left>
      <right style="thin">
        <color theme="3"/>
      </right>
      <top/>
      <bottom style="thick">
        <color theme="3"/>
      </bottom>
      <diagonal/>
    </border>
    <border>
      <left style="thick">
        <color theme="3"/>
      </left>
      <right style="double">
        <color theme="3"/>
      </right>
      <top style="thin">
        <color theme="3"/>
      </top>
      <bottom style="thin">
        <color theme="3"/>
      </bottom>
      <diagonal/>
    </border>
    <border>
      <left/>
      <right style="double">
        <color theme="3"/>
      </right>
      <top style="thin">
        <color theme="3"/>
      </top>
      <bottom/>
      <diagonal/>
    </border>
    <border>
      <left/>
      <right style="thin">
        <color theme="3"/>
      </right>
      <top style="medium">
        <color theme="3" tint="-0.249977111117893"/>
      </top>
      <bottom/>
      <diagonal/>
    </border>
    <border>
      <left style="double">
        <color theme="3"/>
      </left>
      <right/>
      <top/>
      <bottom/>
      <diagonal/>
    </border>
    <border>
      <left/>
      <right/>
      <top style="thick">
        <color theme="3"/>
      </top>
      <bottom/>
      <diagonal/>
    </border>
    <border>
      <left style="thin">
        <color theme="3"/>
      </left>
      <right style="thick">
        <color theme="3"/>
      </right>
      <top style="thin">
        <color theme="3"/>
      </top>
      <bottom style="medium">
        <color theme="3"/>
      </bottom>
      <diagonal/>
    </border>
    <border>
      <left/>
      <right style="thin">
        <color theme="3"/>
      </right>
      <top style="medium">
        <color theme="3"/>
      </top>
      <bottom style="thin">
        <color theme="3"/>
      </bottom>
      <diagonal/>
    </border>
    <border>
      <left style="thin">
        <color theme="3"/>
      </left>
      <right style="thick">
        <color theme="3"/>
      </right>
      <top style="medium">
        <color theme="3"/>
      </top>
      <bottom style="thin">
        <color theme="3"/>
      </bottom>
      <diagonal/>
    </border>
    <border>
      <left style="medium">
        <color theme="3"/>
      </left>
      <right style="thin">
        <color theme="3"/>
      </right>
      <top style="medium">
        <color theme="3"/>
      </top>
      <bottom style="thin">
        <color theme="3"/>
      </bottom>
      <diagonal/>
    </border>
    <border>
      <left style="thin">
        <color theme="3"/>
      </left>
      <right style="thick">
        <color theme="3"/>
      </right>
      <top/>
      <bottom style="thin">
        <color theme="3"/>
      </bottom>
      <diagonal/>
    </border>
    <border>
      <left style="thin">
        <color theme="3" tint="-0.249977111117893"/>
      </left>
      <right style="thin">
        <color theme="3"/>
      </right>
      <top/>
      <bottom style="medium">
        <color theme="3"/>
      </bottom>
      <diagonal/>
    </border>
    <border>
      <left style="thin">
        <color theme="3" tint="-0.249977111117893"/>
      </left>
      <right style="double">
        <color theme="3"/>
      </right>
      <top/>
      <bottom style="medium">
        <color theme="3"/>
      </bottom>
      <diagonal/>
    </border>
    <border>
      <left style="double">
        <color theme="3"/>
      </left>
      <right style="double">
        <color theme="3"/>
      </right>
      <top/>
      <bottom/>
      <diagonal/>
    </border>
    <border>
      <left style="double">
        <color theme="3"/>
      </left>
      <right style="double">
        <color theme="3"/>
      </right>
      <top/>
      <bottom style="thick">
        <color theme="3"/>
      </bottom>
      <diagonal/>
    </border>
    <border>
      <left/>
      <right style="thick">
        <color theme="3"/>
      </right>
      <top style="thin">
        <color theme="3"/>
      </top>
      <bottom style="medium">
        <color theme="3"/>
      </bottom>
      <diagonal/>
    </border>
    <border>
      <left style="thin">
        <color rgb="FF315887"/>
      </left>
      <right style="thin">
        <color theme="3"/>
      </right>
      <top style="thin">
        <color theme="3"/>
      </top>
      <bottom style="thin">
        <color theme="3"/>
      </bottom>
      <diagonal/>
    </border>
    <border>
      <left style="medium">
        <color theme="3"/>
      </left>
      <right style="medium">
        <color theme="3"/>
      </right>
      <top style="medium">
        <color theme="3"/>
      </top>
      <bottom style="medium">
        <color theme="3"/>
      </bottom>
      <diagonal/>
    </border>
    <border>
      <left/>
      <right style="medium">
        <color theme="3"/>
      </right>
      <top style="medium">
        <color theme="3"/>
      </top>
      <bottom style="medium">
        <color theme="3"/>
      </bottom>
      <diagonal/>
    </border>
    <border>
      <left/>
      <right style="double">
        <color theme="3"/>
      </right>
      <top style="thick">
        <color theme="3"/>
      </top>
      <bottom style="thin">
        <color theme="3"/>
      </bottom>
      <diagonal/>
    </border>
    <border>
      <left/>
      <right style="thick">
        <color theme="3"/>
      </right>
      <top style="thin">
        <color theme="3"/>
      </top>
      <bottom style="thin">
        <color theme="3"/>
      </bottom>
      <diagonal/>
    </border>
    <border>
      <left style="thin">
        <color theme="3"/>
      </left>
      <right style="thin">
        <color theme="3"/>
      </right>
      <top style="thin">
        <color theme="3"/>
      </top>
      <bottom/>
      <diagonal/>
    </border>
    <border>
      <left style="double">
        <color theme="3"/>
      </left>
      <right style="double">
        <color theme="3"/>
      </right>
      <top style="thin">
        <color theme="3"/>
      </top>
      <bottom/>
      <diagonal/>
    </border>
    <border>
      <left style="double">
        <color theme="3"/>
      </left>
      <right style="double">
        <color theme="3"/>
      </right>
      <top style="thick">
        <color theme="3"/>
      </top>
      <bottom style="thin">
        <color theme="3"/>
      </bottom>
      <diagonal/>
    </border>
    <border>
      <left style="double">
        <color theme="3"/>
      </left>
      <right style="double">
        <color theme="3"/>
      </right>
      <top style="thin">
        <color theme="3"/>
      </top>
      <bottom style="thin">
        <color theme="3"/>
      </bottom>
      <diagonal/>
    </border>
    <border>
      <left style="thin">
        <color theme="3"/>
      </left>
      <right/>
      <top/>
      <bottom style="medium">
        <color theme="3"/>
      </bottom>
      <diagonal/>
    </border>
    <border>
      <left style="thin">
        <color theme="3"/>
      </left>
      <right/>
      <top style="thin">
        <color theme="3"/>
      </top>
      <bottom/>
      <diagonal/>
    </border>
    <border>
      <left style="thin">
        <color theme="3"/>
      </left>
      <right style="thin">
        <color theme="3"/>
      </right>
      <top/>
      <bottom style="thin">
        <color theme="3"/>
      </bottom>
      <diagonal/>
    </border>
    <border>
      <left style="thin">
        <color theme="3"/>
      </left>
      <right style="thick">
        <color theme="3"/>
      </right>
      <top style="medium">
        <color theme="3"/>
      </top>
      <bottom/>
      <diagonal/>
    </border>
    <border>
      <left style="thin">
        <color theme="3"/>
      </left>
      <right/>
      <top style="thin">
        <color theme="3"/>
      </top>
      <bottom style="thin">
        <color theme="3"/>
      </bottom>
      <diagonal/>
    </border>
    <border>
      <left/>
      <right style="thin">
        <color rgb="FF294A71"/>
      </right>
      <top/>
      <bottom/>
      <diagonal/>
    </border>
    <border>
      <left style="thin">
        <color rgb="FF315887"/>
      </left>
      <right style="thin">
        <color rgb="FF294A71"/>
      </right>
      <top/>
      <bottom/>
      <diagonal/>
    </border>
    <border>
      <left/>
      <right style="thin">
        <color rgb="FF294A71"/>
      </right>
      <top style="medium">
        <color theme="3"/>
      </top>
      <bottom/>
      <diagonal/>
    </border>
    <border>
      <left/>
      <right style="thin">
        <color rgb="FF294A71"/>
      </right>
      <top style="thin">
        <color theme="3"/>
      </top>
      <bottom style="medium">
        <color theme="3"/>
      </bottom>
      <diagonal/>
    </border>
    <border>
      <left style="thin">
        <color rgb="FF294A71"/>
      </left>
      <right style="thin">
        <color rgb="FF294A71"/>
      </right>
      <top/>
      <bottom/>
      <diagonal/>
    </border>
    <border>
      <left/>
      <right/>
      <top style="thick">
        <color rgb="FF294A71"/>
      </top>
      <bottom/>
      <diagonal/>
    </border>
    <border>
      <left style="thick">
        <color theme="3"/>
      </left>
      <right style="medium">
        <color rgb="FF294A71"/>
      </right>
      <top style="thin">
        <color theme="3"/>
      </top>
      <bottom style="thin">
        <color theme="3"/>
      </bottom>
      <diagonal/>
    </border>
    <border>
      <left style="thick">
        <color theme="3"/>
      </left>
      <right style="thin">
        <color theme="3"/>
      </right>
      <top style="medium">
        <color theme="3"/>
      </top>
      <bottom style="thin">
        <color theme="3"/>
      </bottom>
      <diagonal/>
    </border>
    <border>
      <left/>
      <right style="double">
        <color theme="3"/>
      </right>
      <top style="medium">
        <color theme="3"/>
      </top>
      <bottom style="thin">
        <color theme="3"/>
      </bottom>
      <diagonal/>
    </border>
    <border>
      <left style="thin">
        <color theme="3"/>
      </left>
      <right style="thin">
        <color theme="3"/>
      </right>
      <top style="medium">
        <color theme="3"/>
      </top>
      <bottom style="thick">
        <color theme="3"/>
      </bottom>
      <diagonal/>
    </border>
    <border>
      <left style="thin">
        <color theme="3"/>
      </left>
      <right style="thin">
        <color theme="3"/>
      </right>
      <top style="thin">
        <color theme="3"/>
      </top>
      <bottom style="thick">
        <color theme="3"/>
      </bottom>
      <diagonal/>
    </border>
    <border>
      <left/>
      <right style="double">
        <color rgb="FF294A71"/>
      </right>
      <top style="thin">
        <color theme="3"/>
      </top>
      <bottom/>
      <diagonal/>
    </border>
    <border>
      <left/>
      <right style="thin">
        <color theme="3"/>
      </right>
      <top/>
      <bottom style="thin">
        <color theme="3"/>
      </bottom>
      <diagonal/>
    </border>
    <border>
      <left style="thin">
        <color indexed="64"/>
      </left>
      <right style="thin">
        <color indexed="64"/>
      </right>
      <top style="thin">
        <color indexed="64"/>
      </top>
      <bottom style="thin">
        <color indexed="64"/>
      </bottom>
      <diagonal/>
    </border>
    <border>
      <left style="double">
        <color theme="3"/>
      </left>
      <right style="thick">
        <color theme="3"/>
      </right>
      <top style="thin">
        <color theme="3"/>
      </top>
      <bottom/>
      <diagonal/>
    </border>
    <border>
      <left style="double">
        <color theme="3"/>
      </left>
      <right style="thick">
        <color theme="3"/>
      </right>
      <top/>
      <bottom style="thick">
        <color theme="3"/>
      </bottom>
      <diagonal/>
    </border>
    <border>
      <left/>
      <right style="double">
        <color rgb="FF294A71"/>
      </right>
      <top/>
      <bottom/>
      <diagonal/>
    </border>
    <border>
      <left/>
      <right style="double">
        <color rgb="FF294A71"/>
      </right>
      <top/>
      <bottom style="thick">
        <color theme="3"/>
      </bottom>
      <diagonal/>
    </border>
    <border>
      <left style="double">
        <color theme="3"/>
      </left>
      <right style="double">
        <color rgb="FF315887"/>
      </right>
      <top/>
      <bottom/>
      <diagonal/>
    </border>
    <border>
      <left/>
      <right style="double">
        <color rgb="FF315887"/>
      </right>
      <top style="thin">
        <color theme="3"/>
      </top>
      <bottom/>
      <diagonal/>
    </border>
    <border>
      <left/>
      <right style="double">
        <color rgb="FF315887"/>
      </right>
      <top/>
      <bottom/>
      <diagonal/>
    </border>
    <border>
      <left/>
      <right style="double">
        <color rgb="FF315887"/>
      </right>
      <top/>
      <bottom style="thick">
        <color theme="3"/>
      </bottom>
      <diagonal/>
    </border>
    <border>
      <left style="double">
        <color theme="3"/>
      </left>
      <right style="double">
        <color rgb="FF315887"/>
      </right>
      <top style="medium">
        <color theme="3"/>
      </top>
      <bottom/>
      <diagonal/>
    </border>
    <border>
      <left style="double">
        <color rgb="FF315887"/>
      </left>
      <right style="double">
        <color rgb="FF315887"/>
      </right>
      <top style="thin">
        <color theme="3"/>
      </top>
      <bottom/>
      <diagonal/>
    </border>
    <border>
      <left style="double">
        <color rgb="FF315887"/>
      </left>
      <right style="double">
        <color rgb="FF315887"/>
      </right>
      <top/>
      <bottom/>
      <diagonal/>
    </border>
    <border>
      <left style="double">
        <color rgb="FF315887"/>
      </left>
      <right style="double">
        <color rgb="FF315887"/>
      </right>
      <top/>
      <bottom style="thick">
        <color theme="3"/>
      </bottom>
      <diagonal/>
    </border>
    <border>
      <left style="thin">
        <color theme="3"/>
      </left>
      <right style="double">
        <color rgb="FF315887"/>
      </right>
      <top/>
      <bottom/>
      <diagonal/>
    </border>
    <border>
      <left style="thin">
        <color theme="3"/>
      </left>
      <right style="double">
        <color rgb="FF315887"/>
      </right>
      <top/>
      <bottom style="thick">
        <color theme="3"/>
      </bottom>
      <diagonal/>
    </border>
    <border>
      <left/>
      <right style="thin">
        <color rgb="FF294A71"/>
      </right>
      <top style="thin">
        <color rgb="FF315887"/>
      </top>
      <bottom/>
      <diagonal/>
    </border>
    <border>
      <left/>
      <right style="thin">
        <color rgb="FF294A71"/>
      </right>
      <top/>
      <bottom style="thin">
        <color rgb="FF315887"/>
      </bottom>
      <diagonal/>
    </border>
    <border>
      <left/>
      <right style="thin">
        <color rgb="FF294A71"/>
      </right>
      <top style="thin">
        <color rgb="FF315887"/>
      </top>
      <bottom style="thin">
        <color rgb="FF315887"/>
      </bottom>
      <diagonal/>
    </border>
    <border>
      <left style="thick">
        <color theme="3"/>
      </left>
      <right style="medium">
        <color rgb="FF315887"/>
      </right>
      <top style="thin">
        <color theme="3"/>
      </top>
      <bottom style="thick">
        <color rgb="FF315887"/>
      </bottom>
      <diagonal/>
    </border>
    <border>
      <left style="thick">
        <color theme="3"/>
      </left>
      <right style="medium">
        <color rgb="FF315887"/>
      </right>
      <top style="thin">
        <color theme="3"/>
      </top>
      <bottom style="thin">
        <color theme="3"/>
      </bottom>
      <diagonal/>
    </border>
    <border>
      <left/>
      <right style="thin">
        <color rgb="FF315887"/>
      </right>
      <top style="thin">
        <color rgb="FF315887"/>
      </top>
      <bottom/>
      <diagonal/>
    </border>
    <border>
      <left/>
      <right/>
      <top style="thick">
        <color rgb="FF315887"/>
      </top>
      <bottom/>
      <diagonal/>
    </border>
    <border>
      <left/>
      <right style="thin">
        <color rgb="FF315887"/>
      </right>
      <top/>
      <bottom style="medium">
        <color theme="3"/>
      </bottom>
      <diagonal/>
    </border>
    <border>
      <left/>
      <right style="thin">
        <color rgb="FF315887"/>
      </right>
      <top style="medium">
        <color theme="3"/>
      </top>
      <bottom/>
      <diagonal/>
    </border>
    <border>
      <left/>
      <right style="thin">
        <color rgb="FF315887"/>
      </right>
      <top style="thin">
        <color rgb="FF315887"/>
      </top>
      <bottom style="thick">
        <color rgb="FF315887"/>
      </bottom>
      <diagonal/>
    </border>
    <border>
      <left/>
      <right style="double">
        <color rgb="FF315887"/>
      </right>
      <top/>
      <bottom style="medium">
        <color theme="3"/>
      </bottom>
      <diagonal/>
    </border>
    <border>
      <left/>
      <right style="thin">
        <color rgb="FF315887"/>
      </right>
      <top style="thin">
        <color theme="3"/>
      </top>
      <bottom style="medium">
        <color theme="3"/>
      </bottom>
      <diagonal/>
    </border>
    <border>
      <left/>
      <right style="thick">
        <color rgb="FF315887"/>
      </right>
      <top/>
      <bottom style="medium">
        <color theme="3"/>
      </bottom>
      <diagonal/>
    </border>
    <border>
      <left/>
      <right style="thick">
        <color rgb="FF315887"/>
      </right>
      <top/>
      <bottom/>
      <diagonal/>
    </border>
    <border>
      <left/>
      <right style="medium">
        <color rgb="FF315887"/>
      </right>
      <top style="thin">
        <color theme="3"/>
      </top>
      <bottom style="medium">
        <color theme="3"/>
      </bottom>
      <diagonal/>
    </border>
    <border>
      <left style="thin">
        <color theme="3"/>
      </left>
      <right style="double">
        <color rgb="FF315887"/>
      </right>
      <top style="thin">
        <color rgb="FF315887"/>
      </top>
      <bottom/>
      <diagonal/>
    </border>
    <border>
      <left/>
      <right style="thick">
        <color rgb="FF294A71"/>
      </right>
      <top/>
      <bottom/>
      <diagonal/>
    </border>
    <border>
      <left style="medium">
        <color theme="3"/>
      </left>
      <right style="thin">
        <color theme="3"/>
      </right>
      <top style="thin">
        <color theme="3"/>
      </top>
      <bottom style="thick">
        <color rgb="FF294A71"/>
      </bottom>
      <diagonal/>
    </border>
    <border>
      <left style="thin">
        <color theme="3"/>
      </left>
      <right style="thin">
        <color theme="3"/>
      </right>
      <top/>
      <bottom style="thick">
        <color rgb="FF294A71"/>
      </bottom>
      <diagonal/>
    </border>
    <border>
      <left style="thick">
        <color rgb="FF294A71"/>
      </left>
      <right style="thick">
        <color rgb="FF294A71"/>
      </right>
      <top style="thick">
        <color rgb="FF294A71"/>
      </top>
      <bottom style="thick">
        <color rgb="FF294A71"/>
      </bottom>
      <diagonal/>
    </border>
    <border>
      <left/>
      <right style="thin">
        <color theme="3"/>
      </right>
      <top style="thin">
        <color rgb="FF294A71"/>
      </top>
      <bottom/>
      <diagonal/>
    </border>
    <border>
      <left/>
      <right style="thin">
        <color theme="3"/>
      </right>
      <top style="thin">
        <color rgb="FF294A71"/>
      </top>
      <bottom style="thin">
        <color rgb="FF294A71"/>
      </bottom>
      <diagonal/>
    </border>
    <border>
      <left/>
      <right style="thin">
        <color rgb="FF315887"/>
      </right>
      <top style="thin">
        <color rgb="FF294A71"/>
      </top>
      <bottom style="thin">
        <color rgb="FF294A71"/>
      </bottom>
      <diagonal/>
    </border>
    <border>
      <left style="thin">
        <color rgb="FF294A71"/>
      </left>
      <right style="double">
        <color rgb="FF294A71"/>
      </right>
      <top style="medium">
        <color theme="3"/>
      </top>
      <bottom/>
      <diagonal/>
    </border>
    <border>
      <left style="thin">
        <color rgb="FF294A71"/>
      </left>
      <right style="double">
        <color rgb="FF294A71"/>
      </right>
      <top style="thin">
        <color rgb="FF294A71"/>
      </top>
      <bottom style="thin">
        <color rgb="FF294A71"/>
      </bottom>
      <diagonal/>
    </border>
    <border>
      <left style="thin">
        <color rgb="FF294A71"/>
      </left>
      <right style="double">
        <color rgb="FF294A71"/>
      </right>
      <top/>
      <bottom style="thin">
        <color rgb="FF294A71"/>
      </bottom>
      <diagonal/>
    </border>
    <border>
      <left style="medium">
        <color rgb="FF315887"/>
      </left>
      <right style="thin">
        <color theme="3"/>
      </right>
      <top style="thin">
        <color rgb="FF294A71"/>
      </top>
      <bottom style="thick">
        <color rgb="FF294A71"/>
      </bottom>
      <diagonal/>
    </border>
    <border>
      <left style="thin">
        <color rgb="FF294A71"/>
      </left>
      <right/>
      <top/>
      <bottom/>
      <diagonal/>
    </border>
    <border>
      <left/>
      <right style="thin">
        <color rgb="FF294A71"/>
      </right>
      <top/>
      <bottom style="medium">
        <color theme="3"/>
      </bottom>
      <diagonal/>
    </border>
    <border>
      <left style="thin">
        <color theme="3"/>
      </left>
      <right style="thin">
        <color rgb="FF294A71"/>
      </right>
      <top/>
      <bottom style="medium">
        <color theme="3"/>
      </bottom>
      <diagonal/>
    </border>
    <border>
      <left style="thin">
        <color theme="3"/>
      </left>
      <right style="thin">
        <color rgb="FF294A71"/>
      </right>
      <top style="thin">
        <color theme="3"/>
      </top>
      <bottom style="thin">
        <color theme="3"/>
      </bottom>
      <diagonal/>
    </border>
    <border>
      <left style="thin">
        <color theme="3"/>
      </left>
      <right style="thin">
        <color rgb="FF294A71"/>
      </right>
      <top style="thin">
        <color rgb="FF294A71"/>
      </top>
      <bottom style="thin">
        <color rgb="FF294A71"/>
      </bottom>
      <diagonal/>
    </border>
    <border>
      <left style="thin">
        <color rgb="FF294A71"/>
      </left>
      <right style="thick">
        <color rgb="FF294A71"/>
      </right>
      <top/>
      <bottom/>
      <diagonal/>
    </border>
    <border>
      <left style="thin">
        <color rgb="FF294A71"/>
      </left>
      <right style="thick">
        <color rgb="FF294A71"/>
      </right>
      <top/>
      <bottom style="medium">
        <color theme="3"/>
      </bottom>
      <diagonal/>
    </border>
    <border>
      <left style="thin">
        <color rgb="FF294A71"/>
      </left>
      <right style="thick">
        <color rgb="FF294A71"/>
      </right>
      <top style="thin">
        <color rgb="FF294A71"/>
      </top>
      <bottom/>
      <diagonal/>
    </border>
    <border>
      <left style="thin">
        <color rgb="FF294A71"/>
      </left>
      <right style="thick">
        <color rgb="FF294A71"/>
      </right>
      <top style="thin">
        <color rgb="FF294A71"/>
      </top>
      <bottom style="thin">
        <color rgb="FF294A71"/>
      </bottom>
      <diagonal/>
    </border>
    <border>
      <left style="thin">
        <color rgb="FF315887"/>
      </left>
      <right style="thin">
        <color rgb="FF294A71"/>
      </right>
      <top style="medium">
        <color theme="3"/>
      </top>
      <bottom/>
      <diagonal/>
    </border>
    <border>
      <left style="thin">
        <color rgb="FF315887"/>
      </left>
      <right style="double">
        <color rgb="FF294A71"/>
      </right>
      <top/>
      <bottom style="thick">
        <color rgb="FF294A71"/>
      </bottom>
      <diagonal/>
    </border>
    <border>
      <left style="thin">
        <color rgb="FF315887"/>
      </left>
      <right style="double">
        <color rgb="FF294A71"/>
      </right>
      <top/>
      <bottom style="medium">
        <color theme="3"/>
      </bottom>
      <diagonal/>
    </border>
    <border>
      <left style="thin">
        <color rgb="FF315887"/>
      </left>
      <right style="double">
        <color rgb="FF294A71"/>
      </right>
      <top style="medium">
        <color theme="3"/>
      </top>
      <bottom/>
      <diagonal/>
    </border>
    <border>
      <left style="thin">
        <color rgb="FF315887"/>
      </left>
      <right style="double">
        <color rgb="FF294A71"/>
      </right>
      <top style="thin">
        <color rgb="FF294A71"/>
      </top>
      <bottom style="thin">
        <color rgb="FF294A71"/>
      </bottom>
      <diagonal/>
    </border>
    <border>
      <left/>
      <right style="thin">
        <color rgb="FF294A71"/>
      </right>
      <top style="thin">
        <color rgb="FF294A71"/>
      </top>
      <bottom style="thin">
        <color rgb="FF294A71"/>
      </bottom>
      <diagonal/>
    </border>
    <border>
      <left/>
      <right style="thin">
        <color rgb="FF294A71"/>
      </right>
      <top style="thin">
        <color rgb="FF315887"/>
      </top>
      <bottom style="thick">
        <color rgb="FF294A71"/>
      </bottom>
      <diagonal/>
    </border>
    <border>
      <left style="double">
        <color rgb="FF294A71"/>
      </left>
      <right style="thin">
        <color rgb="FF294A71"/>
      </right>
      <top/>
      <bottom style="medium">
        <color theme="3"/>
      </bottom>
      <diagonal/>
    </border>
    <border>
      <left style="double">
        <color rgb="FF294A71"/>
      </left>
      <right style="thin">
        <color rgb="FF294A71"/>
      </right>
      <top style="medium">
        <color theme="3"/>
      </top>
      <bottom/>
      <diagonal/>
    </border>
    <border>
      <left style="double">
        <color rgb="FF294A71"/>
      </left>
      <right style="thin">
        <color rgb="FF294A71"/>
      </right>
      <top style="thin">
        <color rgb="FF315887"/>
      </top>
      <bottom/>
      <diagonal/>
    </border>
    <border>
      <left style="double">
        <color rgb="FF294A71"/>
      </left>
      <right style="thin">
        <color rgb="FF294A71"/>
      </right>
      <top/>
      <bottom/>
      <diagonal/>
    </border>
    <border>
      <left style="double">
        <color rgb="FF294A71"/>
      </left>
      <right style="thin">
        <color rgb="FF294A71"/>
      </right>
      <top style="thin">
        <color rgb="FF315887"/>
      </top>
      <bottom style="thick">
        <color rgb="FF294A71"/>
      </bottom>
      <diagonal/>
    </border>
    <border>
      <left style="thin">
        <color rgb="FF315887"/>
      </left>
      <right style="double">
        <color rgb="FF294A71"/>
      </right>
      <top/>
      <bottom/>
      <diagonal/>
    </border>
    <border>
      <left style="thin">
        <color rgb="FF315887"/>
      </left>
      <right style="thin">
        <color rgb="FF294A71"/>
      </right>
      <top/>
      <bottom style="medium">
        <color theme="3"/>
      </bottom>
      <diagonal/>
    </border>
    <border>
      <left style="thin">
        <color rgb="FF315887"/>
      </left>
      <right style="thin">
        <color rgb="FF294A71"/>
      </right>
      <top style="thin">
        <color rgb="FF315887"/>
      </top>
      <bottom style="thin">
        <color rgb="FF315887"/>
      </bottom>
      <diagonal/>
    </border>
    <border>
      <left style="thin">
        <color rgb="FF315887"/>
      </left>
      <right style="thin">
        <color rgb="FF294A71"/>
      </right>
      <top/>
      <bottom style="thin">
        <color rgb="FF315887"/>
      </bottom>
      <diagonal/>
    </border>
    <border>
      <left style="thin">
        <color rgb="FF315887"/>
      </left>
      <right style="double">
        <color rgb="FF294A71"/>
      </right>
      <top style="medium">
        <color theme="3"/>
      </top>
      <bottom style="thin">
        <color rgb="FF294A71"/>
      </bottom>
      <diagonal/>
    </border>
    <border>
      <left style="thin">
        <color rgb="FF315887"/>
      </left>
      <right/>
      <top style="thin">
        <color rgb="FF315887"/>
      </top>
      <bottom style="thick">
        <color rgb="FF315887"/>
      </bottom>
      <diagonal/>
    </border>
    <border>
      <left/>
      <right style="thick">
        <color rgb="FF294A71"/>
      </right>
      <top/>
      <bottom style="medium">
        <color theme="3"/>
      </bottom>
      <diagonal/>
    </border>
    <border>
      <left/>
      <right style="thick">
        <color rgb="FF294A71"/>
      </right>
      <top style="medium">
        <color theme="3"/>
      </top>
      <bottom style="thin">
        <color rgb="FF294A71"/>
      </bottom>
      <diagonal/>
    </border>
    <border>
      <left/>
      <right style="thick">
        <color rgb="FF294A71"/>
      </right>
      <top style="thin">
        <color rgb="FF294A71"/>
      </top>
      <bottom style="thin">
        <color rgb="FF294A71"/>
      </bottom>
      <diagonal/>
    </border>
    <border>
      <left/>
      <right style="thick">
        <color rgb="FF294A71"/>
      </right>
      <top style="thin">
        <color rgb="FF294A71"/>
      </top>
      <bottom style="thick">
        <color rgb="FF294A71"/>
      </bottom>
      <diagonal/>
    </border>
    <border>
      <left style="thin">
        <color rgb="FF294A71"/>
      </left>
      <right style="thick">
        <color rgb="FF294A71"/>
      </right>
      <top style="thin">
        <color rgb="FF294A71"/>
      </top>
      <bottom style="thick">
        <color rgb="FF294A71"/>
      </bottom>
      <diagonal/>
    </border>
    <border>
      <left style="thin">
        <color rgb="FF315887"/>
      </left>
      <right style="double">
        <color rgb="FF294A71"/>
      </right>
      <top style="thin">
        <color rgb="FF294A71"/>
      </top>
      <bottom style="thick">
        <color rgb="FF294A71"/>
      </bottom>
      <diagonal/>
    </border>
    <border>
      <left style="thick">
        <color rgb="FF294A71"/>
      </left>
      <right/>
      <top/>
      <bottom/>
      <diagonal/>
    </border>
    <border>
      <left style="thick">
        <color theme="3"/>
      </left>
      <right style="medium">
        <color rgb="FF294A71"/>
      </right>
      <top style="thin">
        <color theme="3"/>
      </top>
      <bottom/>
      <diagonal/>
    </border>
    <border>
      <left/>
      <right style="thin">
        <color rgb="FF294A71"/>
      </right>
      <top/>
      <bottom style="thin">
        <color rgb="FF294A71"/>
      </bottom>
      <diagonal/>
    </border>
    <border>
      <left/>
      <right style="thin">
        <color rgb="FF294A71"/>
      </right>
      <top style="thin">
        <color rgb="FF294A71"/>
      </top>
      <bottom style="thick">
        <color rgb="FF294A71"/>
      </bottom>
      <diagonal/>
    </border>
    <border>
      <left style="thin">
        <color theme="3"/>
      </left>
      <right style="thin">
        <color rgb="FF294A71"/>
      </right>
      <top style="thin">
        <color rgb="FF294A71"/>
      </top>
      <bottom/>
      <diagonal/>
    </border>
    <border>
      <left style="thin">
        <color theme="3"/>
      </left>
      <right style="thin">
        <color rgb="FF294A71"/>
      </right>
      <top style="thin">
        <color rgb="FF294A71"/>
      </top>
      <bottom style="thick">
        <color rgb="FF294A71"/>
      </bottom>
      <diagonal/>
    </border>
    <border>
      <left/>
      <right style="thin">
        <color rgb="FF294A71"/>
      </right>
      <top/>
      <bottom style="thick">
        <color rgb="FF294A71"/>
      </bottom>
      <diagonal/>
    </border>
    <border>
      <left/>
      <right style="thin">
        <color rgb="FF315887"/>
      </right>
      <top style="thin">
        <color rgb="FF294A71"/>
      </top>
      <bottom style="thick">
        <color rgb="FF294A71"/>
      </bottom>
      <diagonal/>
    </border>
    <border>
      <left style="thin">
        <color rgb="FF294A71"/>
      </left>
      <right style="thin">
        <color rgb="FF294A71"/>
      </right>
      <top/>
      <bottom style="medium">
        <color theme="3"/>
      </bottom>
      <diagonal/>
    </border>
    <border>
      <left style="thin">
        <color rgb="FF294A71"/>
      </left>
      <right style="double">
        <color rgb="FF294A71"/>
      </right>
      <top style="thin">
        <color rgb="FF294A71"/>
      </top>
      <bottom/>
      <diagonal/>
    </border>
    <border>
      <left style="thin">
        <color rgb="FF294A71"/>
      </left>
      <right style="thin">
        <color rgb="FF315887"/>
      </right>
      <top style="medium">
        <color theme="3"/>
      </top>
      <bottom/>
      <diagonal/>
    </border>
    <border>
      <left style="thin">
        <color theme="3"/>
      </left>
      <right style="thin">
        <color rgb="FF294A71"/>
      </right>
      <top style="medium">
        <color theme="3"/>
      </top>
      <bottom style="thin">
        <color rgb="FF294A71"/>
      </bottom>
      <diagonal/>
    </border>
    <border>
      <left style="thin">
        <color theme="3"/>
      </left>
      <right/>
      <top/>
      <bottom style="thin">
        <color theme="3"/>
      </bottom>
      <diagonal/>
    </border>
    <border>
      <left style="thin">
        <color theme="3"/>
      </left>
      <right style="double">
        <color rgb="FF294A71"/>
      </right>
      <top style="medium">
        <color theme="3"/>
      </top>
      <bottom/>
      <diagonal/>
    </border>
    <border>
      <left style="thin">
        <color theme="3"/>
      </left>
      <right style="double">
        <color rgb="FF294A71"/>
      </right>
      <top/>
      <bottom/>
      <diagonal/>
    </border>
    <border>
      <left style="thin">
        <color theme="3"/>
      </left>
      <right style="double">
        <color rgb="FF294A71"/>
      </right>
      <top/>
      <bottom style="thick">
        <color theme="3"/>
      </bottom>
      <diagonal/>
    </border>
    <border>
      <left style="thin">
        <color theme="3"/>
      </left>
      <right style="thick">
        <color theme="3"/>
      </right>
      <top/>
      <bottom style="thick">
        <color theme="3"/>
      </bottom>
      <diagonal/>
    </border>
    <border>
      <left style="thick">
        <color theme="3"/>
      </left>
      <right style="medium">
        <color theme="3"/>
      </right>
      <top style="thin">
        <color theme="3"/>
      </top>
      <bottom style="thick">
        <color rgb="FF294A71"/>
      </bottom>
      <diagonal/>
    </border>
    <border>
      <left/>
      <right style="thin">
        <color theme="3"/>
      </right>
      <top style="medium">
        <color theme="3"/>
      </top>
      <bottom style="thin">
        <color rgb="FF294A71"/>
      </bottom>
      <diagonal/>
    </border>
    <border>
      <left style="thin">
        <color theme="3"/>
      </left>
      <right style="thin">
        <color theme="3"/>
      </right>
      <top style="medium">
        <color theme="3"/>
      </top>
      <bottom style="thin">
        <color rgb="FF294A71"/>
      </bottom>
      <diagonal/>
    </border>
    <border>
      <left style="thin">
        <color theme="3"/>
      </left>
      <right style="double">
        <color theme="3"/>
      </right>
      <top style="medium">
        <color theme="3"/>
      </top>
      <bottom style="thin">
        <color rgb="FF294A71"/>
      </bottom>
      <diagonal/>
    </border>
    <border>
      <left style="double">
        <color theme="3"/>
      </left>
      <right style="thin">
        <color theme="3"/>
      </right>
      <top style="medium">
        <color theme="3"/>
      </top>
      <bottom style="thin">
        <color rgb="FF294A71"/>
      </bottom>
      <diagonal/>
    </border>
    <border>
      <left style="thin">
        <color theme="3"/>
      </left>
      <right style="thin">
        <color theme="3"/>
      </right>
      <top style="thin">
        <color rgb="FF294A71"/>
      </top>
      <bottom/>
      <diagonal/>
    </border>
    <border>
      <left style="double">
        <color theme="3"/>
      </left>
      <right style="thin">
        <color rgb="FF294A71"/>
      </right>
      <top style="thin">
        <color rgb="FF294A71"/>
      </top>
      <bottom/>
      <diagonal/>
    </border>
    <border>
      <left style="thin">
        <color theme="3"/>
      </left>
      <right style="double">
        <color theme="3"/>
      </right>
      <top/>
      <bottom style="thin">
        <color rgb="FF294A71"/>
      </bottom>
      <diagonal/>
    </border>
    <border>
      <left style="thin">
        <color theme="3"/>
      </left>
      <right style="double">
        <color theme="3"/>
      </right>
      <top style="thin">
        <color rgb="FF294A71"/>
      </top>
      <bottom style="thin">
        <color rgb="FF294A71"/>
      </bottom>
      <diagonal/>
    </border>
    <border>
      <left style="thin">
        <color theme="3"/>
      </left>
      <right style="thin">
        <color theme="3"/>
      </right>
      <top style="thin">
        <color rgb="FF294A71"/>
      </top>
      <bottom style="thin">
        <color rgb="FF294A71"/>
      </bottom>
      <diagonal/>
    </border>
    <border>
      <left/>
      <right style="thin">
        <color theme="3"/>
      </right>
      <top/>
      <bottom style="thin">
        <color rgb="FF294A71"/>
      </bottom>
      <diagonal/>
    </border>
    <border>
      <left style="double">
        <color theme="3"/>
      </left>
      <right style="thin">
        <color rgb="FF294A71"/>
      </right>
      <top style="thin">
        <color rgb="FF294A71"/>
      </top>
      <bottom style="thin">
        <color rgb="FF294A71"/>
      </bottom>
      <diagonal/>
    </border>
    <border>
      <left/>
      <right style="thick">
        <color theme="3"/>
      </right>
      <top style="medium">
        <color theme="3"/>
      </top>
      <bottom style="thin">
        <color rgb="FF294A71"/>
      </bottom>
      <diagonal/>
    </border>
    <border>
      <left style="thin">
        <color theme="3"/>
      </left>
      <right style="thin">
        <color theme="3"/>
      </right>
      <top style="thin">
        <color rgb="FF294A71"/>
      </top>
      <bottom style="medium">
        <color theme="3"/>
      </bottom>
      <diagonal/>
    </border>
    <border>
      <left style="thin">
        <color theme="3"/>
      </left>
      <right style="thick">
        <color theme="3"/>
      </right>
      <top style="thin">
        <color rgb="FF294A71"/>
      </top>
      <bottom style="thin">
        <color rgb="FF294A71"/>
      </bottom>
      <diagonal/>
    </border>
    <border>
      <left style="thin">
        <color theme="3"/>
      </left>
      <right style="thin">
        <color theme="3"/>
      </right>
      <top style="thin">
        <color rgb="FF294A71"/>
      </top>
      <bottom style="thick">
        <color rgb="FF294A71"/>
      </bottom>
      <diagonal/>
    </border>
    <border>
      <left style="thick">
        <color rgb="FF294A71"/>
      </left>
      <right style="thick">
        <color rgb="FF294A71"/>
      </right>
      <top/>
      <bottom style="thick">
        <color rgb="FF294A71"/>
      </bottom>
      <diagonal/>
    </border>
    <border>
      <left style="thick">
        <color rgb="FF294A71"/>
      </left>
      <right style="thick">
        <color rgb="FF294A71"/>
      </right>
      <top style="thick">
        <color rgb="FF294A71"/>
      </top>
      <bottom/>
      <diagonal/>
    </border>
    <border>
      <left style="thin">
        <color rgb="FF315887"/>
      </left>
      <right style="thin">
        <color theme="3"/>
      </right>
      <top style="thin">
        <color theme="3"/>
      </top>
      <bottom/>
      <diagonal/>
    </border>
    <border>
      <left style="thin">
        <color theme="3"/>
      </left>
      <right style="thin">
        <color rgb="FF294A71"/>
      </right>
      <top style="thin">
        <color theme="3"/>
      </top>
      <bottom/>
      <diagonal/>
    </border>
    <border>
      <left style="medium">
        <color theme="3"/>
      </left>
      <right/>
      <top/>
      <bottom/>
      <diagonal/>
    </border>
    <border>
      <left style="thick">
        <color theme="3"/>
      </left>
      <right/>
      <top/>
      <bottom style="medium">
        <color theme="3"/>
      </bottom>
      <diagonal/>
    </border>
    <border>
      <left style="medium">
        <color theme="3"/>
      </left>
      <right style="thick">
        <color rgb="FF294A71"/>
      </right>
      <top/>
      <bottom/>
      <diagonal/>
    </border>
    <border>
      <left style="thin">
        <color theme="3"/>
      </left>
      <right style="thick">
        <color rgb="FF294A71"/>
      </right>
      <top/>
      <bottom/>
      <diagonal/>
    </border>
    <border>
      <left style="medium">
        <color theme="3"/>
      </left>
      <right style="thick">
        <color rgb="FF294A71"/>
      </right>
      <top style="thick">
        <color rgb="FF294A71"/>
      </top>
      <bottom/>
      <diagonal/>
    </border>
    <border>
      <left style="medium">
        <color theme="3"/>
      </left>
      <right style="thick">
        <color rgb="FF294A71"/>
      </right>
      <top/>
      <bottom style="thick">
        <color rgb="FF294A71"/>
      </bottom>
      <diagonal/>
    </border>
    <border>
      <left/>
      <right style="medium">
        <color theme="3"/>
      </right>
      <top style="thick">
        <color rgb="FF294A71"/>
      </top>
      <bottom/>
      <diagonal/>
    </border>
    <border>
      <left/>
      <right style="medium">
        <color theme="3"/>
      </right>
      <top/>
      <bottom style="thick">
        <color rgb="FF294A71"/>
      </bottom>
      <diagonal/>
    </border>
    <border>
      <left style="thin">
        <color theme="3"/>
      </left>
      <right style="double">
        <color rgb="FF294A71"/>
      </right>
      <top/>
      <bottom style="medium">
        <color theme="3"/>
      </bottom>
      <diagonal/>
    </border>
    <border>
      <left style="double">
        <color rgb="FF294A71"/>
      </left>
      <right style="thin">
        <color theme="3" tint="-0.249977111117893"/>
      </right>
      <top style="thin">
        <color theme="3"/>
      </top>
      <bottom style="medium">
        <color theme="3" tint="-0.249977111117893"/>
      </bottom>
      <diagonal/>
    </border>
    <border>
      <left style="thin">
        <color theme="3"/>
      </left>
      <right style="double">
        <color rgb="FF294A71"/>
      </right>
      <top style="thin">
        <color theme="3"/>
      </top>
      <bottom/>
      <diagonal/>
    </border>
    <border>
      <left style="thin">
        <color theme="3"/>
      </left>
      <right style="double">
        <color rgb="FF294A71"/>
      </right>
      <top/>
      <bottom style="thick">
        <color rgb="FF294A71"/>
      </bottom>
      <diagonal/>
    </border>
    <border>
      <left style="double">
        <color rgb="FF294A71"/>
      </left>
      <right/>
      <top/>
      <bottom/>
      <diagonal/>
    </border>
    <border>
      <left style="double">
        <color rgb="FF294A71"/>
      </left>
      <right style="thin">
        <color rgb="FF294A71"/>
      </right>
      <top/>
      <bottom style="thick">
        <color rgb="FF294A71"/>
      </bottom>
      <diagonal/>
    </border>
    <border>
      <left style="double">
        <color rgb="FF294A71"/>
      </left>
      <right style="thin">
        <color rgb="FF294A71"/>
      </right>
      <top style="thin">
        <color rgb="FF294A71"/>
      </top>
      <bottom/>
      <diagonal/>
    </border>
    <border>
      <left style="double">
        <color rgb="FF294A71"/>
      </left>
      <right style="thin">
        <color rgb="FF294A71"/>
      </right>
      <top style="thin">
        <color rgb="FF294A71"/>
      </top>
      <bottom style="thin">
        <color rgb="FF294A71"/>
      </bottom>
      <diagonal/>
    </border>
    <border>
      <left style="thin">
        <color rgb="FF294A71"/>
      </left>
      <right style="double">
        <color rgb="FF294A71"/>
      </right>
      <top style="thin">
        <color rgb="FF294A71"/>
      </top>
      <bottom style="thick">
        <color rgb="FF294A71"/>
      </bottom>
      <diagonal/>
    </border>
    <border>
      <left style="medium">
        <color theme="3"/>
      </left>
      <right style="thin">
        <color rgb="FF294A71"/>
      </right>
      <top style="thin">
        <color rgb="FF294A71"/>
      </top>
      <bottom style="thin">
        <color theme="3"/>
      </bottom>
      <diagonal/>
    </border>
    <border>
      <left style="thick">
        <color rgb="FF294A71"/>
      </left>
      <right style="thick">
        <color rgb="FF294A71"/>
      </right>
      <top style="thin">
        <color rgb="FF294A71"/>
      </top>
      <bottom/>
      <diagonal/>
    </border>
    <border>
      <left style="thick">
        <color rgb="FF294A71"/>
      </left>
      <right style="thin">
        <color rgb="FF294A71"/>
      </right>
      <top style="thin">
        <color rgb="FF294A71"/>
      </top>
      <bottom/>
      <diagonal/>
    </border>
    <border>
      <left style="thin">
        <color rgb="FF294A71"/>
      </left>
      <right style="thin">
        <color theme="3"/>
      </right>
      <top style="thin">
        <color rgb="FF294A71"/>
      </top>
      <bottom style="thin">
        <color theme="3"/>
      </bottom>
      <diagonal/>
    </border>
    <border>
      <left style="double">
        <color rgb="FF294A71"/>
      </left>
      <right/>
      <top style="thin">
        <color rgb="FF294A71"/>
      </top>
      <bottom style="thin">
        <color rgb="FF294A71"/>
      </bottom>
      <diagonal/>
    </border>
    <border>
      <left/>
      <right style="double">
        <color rgb="FF294A71"/>
      </right>
      <top style="thin">
        <color rgb="FF294A71"/>
      </top>
      <bottom style="thin">
        <color rgb="FF294A71"/>
      </bottom>
      <diagonal/>
    </border>
    <border>
      <left style="thin">
        <color theme="3"/>
      </left>
      <right style="double">
        <color rgb="FF294A71"/>
      </right>
      <top/>
      <bottom style="thin">
        <color theme="3"/>
      </bottom>
      <diagonal/>
    </border>
    <border>
      <left style="thin">
        <color theme="3"/>
      </left>
      <right style="thin">
        <color rgb="FF294A71"/>
      </right>
      <top/>
      <bottom style="thin">
        <color theme="3"/>
      </bottom>
      <diagonal/>
    </border>
    <border>
      <left style="thin">
        <color theme="3"/>
      </left>
      <right style="thin">
        <color rgb="FF294A71"/>
      </right>
      <top/>
      <bottom style="thin">
        <color rgb="FF294A71"/>
      </bottom>
      <diagonal/>
    </border>
    <border>
      <left style="thin">
        <color rgb="FF294A71"/>
      </left>
      <right style="thin">
        <color theme="3"/>
      </right>
      <top/>
      <bottom style="thin">
        <color rgb="FF294A71"/>
      </bottom>
      <diagonal/>
    </border>
    <border>
      <left style="double">
        <color rgb="FF294A71"/>
      </left>
      <right/>
      <top/>
      <bottom style="thin">
        <color rgb="FF294A71"/>
      </bottom>
      <diagonal/>
    </border>
    <border>
      <left/>
      <right style="thin">
        <color theme="3" tint="-0.249977111117893"/>
      </right>
      <top style="thin">
        <color theme="3"/>
      </top>
      <bottom/>
      <diagonal/>
    </border>
    <border>
      <left style="thin">
        <color theme="3"/>
      </left>
      <right/>
      <top style="thin">
        <color rgb="FF294A71"/>
      </top>
      <bottom style="thin">
        <color rgb="FF294A71"/>
      </bottom>
      <diagonal/>
    </border>
    <border>
      <left/>
      <right/>
      <top style="thin">
        <color rgb="FF294A71"/>
      </top>
      <bottom style="thin">
        <color rgb="FF294A71"/>
      </bottom>
      <diagonal/>
    </border>
    <border>
      <left style="thin">
        <color rgb="FF294A71"/>
      </left>
      <right style="thin">
        <color rgb="FF294A71"/>
      </right>
      <top/>
      <bottom style="thin">
        <color rgb="FF294A7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double">
        <color rgb="FF315887"/>
      </left>
      <right style="double">
        <color theme="3"/>
      </right>
      <top style="thin">
        <color theme="3"/>
      </top>
      <bottom/>
      <diagonal/>
    </border>
    <border>
      <left style="double">
        <color theme="3"/>
      </left>
      <right style="double">
        <color rgb="FF315887"/>
      </right>
      <top style="thin">
        <color theme="3"/>
      </top>
      <bottom style="thin">
        <color theme="3"/>
      </bottom>
      <diagonal/>
    </border>
    <border>
      <left style="double">
        <color theme="3"/>
      </left>
      <right style="double">
        <color theme="3"/>
      </right>
      <top style="thin">
        <color theme="3"/>
      </top>
      <bottom style="thick">
        <color theme="3"/>
      </bottom>
      <diagonal/>
    </border>
    <border>
      <left/>
      <right style="double">
        <color rgb="FF315887"/>
      </right>
      <top style="thin">
        <color theme="3"/>
      </top>
      <bottom style="thin">
        <color indexed="64"/>
      </bottom>
      <diagonal/>
    </border>
    <border>
      <left/>
      <right style="double">
        <color rgb="FF315887"/>
      </right>
      <top style="thin">
        <color indexed="64"/>
      </top>
      <bottom style="thick">
        <color theme="3"/>
      </bottom>
      <diagonal/>
    </border>
    <border>
      <left/>
      <right/>
      <top style="thick">
        <color theme="3"/>
      </top>
      <bottom style="thin">
        <color theme="3"/>
      </bottom>
      <diagonal/>
    </border>
    <border>
      <left style="thin">
        <color theme="3"/>
      </left>
      <right style="thin">
        <color theme="3"/>
      </right>
      <top style="thin">
        <color rgb="FF294A71"/>
      </top>
      <bottom style="thin">
        <color theme="3"/>
      </bottom>
      <diagonal/>
    </border>
    <border>
      <left style="thick">
        <color theme="3"/>
      </left>
      <right style="medium">
        <color theme="3"/>
      </right>
      <top style="thin">
        <color theme="3"/>
      </top>
      <bottom/>
      <diagonal/>
    </border>
    <border>
      <left style="thick">
        <color theme="3"/>
      </left>
      <right style="medium">
        <color theme="3"/>
      </right>
      <top/>
      <bottom/>
      <diagonal/>
    </border>
    <border>
      <left style="thick">
        <color theme="3"/>
      </left>
      <right style="medium">
        <color theme="3"/>
      </right>
      <top/>
      <bottom style="thick">
        <color theme="3"/>
      </bottom>
      <diagonal/>
    </border>
    <border>
      <left style="thick">
        <color theme="3"/>
      </left>
      <right style="medium">
        <color theme="3"/>
      </right>
      <top/>
      <bottom style="medium">
        <color indexed="64"/>
      </bottom>
      <diagonal/>
    </border>
    <border>
      <left/>
      <right style="double">
        <color theme="3"/>
      </right>
      <top style="thick">
        <color theme="3"/>
      </top>
      <bottom/>
      <diagonal/>
    </border>
    <border>
      <left style="medium">
        <color indexed="64"/>
      </left>
      <right style="double">
        <color theme="3"/>
      </right>
      <top style="medium">
        <color indexed="64"/>
      </top>
      <bottom/>
      <diagonal/>
    </border>
    <border>
      <left style="double">
        <color theme="3"/>
      </left>
      <right style="double">
        <color theme="3"/>
      </right>
      <top style="medium">
        <color indexed="64"/>
      </top>
      <bottom/>
      <diagonal/>
    </border>
    <border>
      <left style="double">
        <color theme="3"/>
      </left>
      <right style="medium">
        <color indexed="64"/>
      </right>
      <top style="medium">
        <color indexed="64"/>
      </top>
      <bottom/>
      <diagonal/>
    </border>
    <border>
      <left style="medium">
        <color indexed="64"/>
      </left>
      <right style="double">
        <color theme="3"/>
      </right>
      <top/>
      <bottom/>
      <diagonal/>
    </border>
    <border>
      <left style="double">
        <color theme="3"/>
      </left>
      <right style="medium">
        <color indexed="64"/>
      </right>
      <top/>
      <bottom/>
      <diagonal/>
    </border>
    <border>
      <left style="double">
        <color theme="3"/>
      </left>
      <right style="double">
        <color theme="3"/>
      </right>
      <top/>
      <bottom style="medium">
        <color indexed="64"/>
      </bottom>
      <diagonal/>
    </border>
    <border>
      <left style="double">
        <color theme="3"/>
      </left>
      <right style="medium">
        <color indexed="64"/>
      </right>
      <top/>
      <bottom style="medium">
        <color indexed="64"/>
      </bottom>
      <diagonal/>
    </border>
    <border>
      <left style="medium">
        <color theme="3"/>
      </left>
      <right style="medium">
        <color indexed="64"/>
      </right>
      <top style="thin">
        <color theme="3"/>
      </top>
      <bottom/>
      <diagonal/>
    </border>
    <border>
      <left style="medium">
        <color theme="3"/>
      </left>
      <right style="medium">
        <color indexed="64"/>
      </right>
      <top/>
      <bottom/>
      <diagonal/>
    </border>
    <border>
      <left style="medium">
        <color theme="3"/>
      </left>
      <right style="medium">
        <color indexed="64"/>
      </right>
      <top/>
      <bottom style="thick">
        <color theme="3"/>
      </bottom>
      <diagonal/>
    </border>
    <border>
      <left style="medium">
        <color indexed="64"/>
      </left>
      <right style="double">
        <color theme="3"/>
      </right>
      <top style="thin">
        <color theme="3"/>
      </top>
      <bottom/>
      <diagonal/>
    </border>
    <border>
      <left style="medium">
        <color indexed="64"/>
      </left>
      <right style="double">
        <color theme="3"/>
      </right>
      <top/>
      <bottom style="thick">
        <color theme="3"/>
      </bottom>
      <diagonal/>
    </border>
    <border>
      <left style="medium">
        <color theme="3"/>
      </left>
      <right style="medium">
        <color indexed="64"/>
      </right>
      <top/>
      <bottom style="medium">
        <color theme="3"/>
      </bottom>
      <diagonal/>
    </border>
    <border>
      <left style="medium">
        <color indexed="64"/>
      </left>
      <right style="double">
        <color theme="3"/>
      </right>
      <top/>
      <bottom style="medium">
        <color theme="3"/>
      </bottom>
      <diagonal/>
    </border>
    <border>
      <left style="double">
        <color theme="3"/>
      </left>
      <right style="double">
        <color theme="3"/>
      </right>
      <top/>
      <bottom style="medium">
        <color theme="3"/>
      </bottom>
      <diagonal/>
    </border>
    <border>
      <left style="double">
        <color theme="3"/>
      </left>
      <right style="medium">
        <color indexed="64"/>
      </right>
      <top/>
      <bottom style="medium">
        <color theme="3"/>
      </bottom>
      <diagonal/>
    </border>
    <border>
      <left style="thin">
        <color rgb="FF294A71"/>
      </left>
      <right style="thin">
        <color rgb="FF315887"/>
      </right>
      <top style="thin">
        <color theme="3"/>
      </top>
      <bottom style="thin">
        <color rgb="FF294A71"/>
      </bottom>
      <diagonal/>
    </border>
    <border>
      <left style="thin">
        <color rgb="FF315887"/>
      </left>
      <right style="thick">
        <color theme="3"/>
      </right>
      <top style="medium">
        <color theme="3"/>
      </top>
      <bottom style="thin">
        <color theme="3"/>
      </bottom>
      <diagonal/>
    </border>
    <border>
      <left style="thin">
        <color rgb="FF315887"/>
      </left>
      <right style="thick">
        <color theme="3"/>
      </right>
      <top/>
      <bottom/>
      <diagonal/>
    </border>
    <border>
      <left style="thin">
        <color rgb="FF315887"/>
      </left>
      <right style="thick">
        <color theme="3"/>
      </right>
      <top style="thin">
        <color theme="3"/>
      </top>
      <bottom/>
      <diagonal/>
    </border>
    <border>
      <left style="thin">
        <color rgb="FF315887"/>
      </left>
      <right style="thick">
        <color theme="3"/>
      </right>
      <top style="thin">
        <color theme="3"/>
      </top>
      <bottom style="thin">
        <color theme="3"/>
      </bottom>
      <diagonal/>
    </border>
    <border>
      <left style="thin">
        <color rgb="FF315887"/>
      </left>
      <right style="thick">
        <color theme="3"/>
      </right>
      <top/>
      <bottom style="thick">
        <color rgb="FF294A71"/>
      </bottom>
      <diagonal/>
    </border>
    <border>
      <left style="thin">
        <color rgb="FF315887"/>
      </left>
      <right style="thick">
        <color rgb="FF294A71"/>
      </right>
      <top/>
      <bottom/>
      <diagonal/>
    </border>
    <border>
      <left style="double">
        <color rgb="FF315887"/>
      </left>
      <right style="double">
        <color theme="3"/>
      </right>
      <top/>
      <bottom/>
      <diagonal/>
    </border>
    <border>
      <left style="double">
        <color rgb="FF315887"/>
      </left>
      <right style="double">
        <color theme="3"/>
      </right>
      <top/>
      <bottom style="thick">
        <color theme="3"/>
      </bottom>
      <diagonal/>
    </border>
    <border>
      <left/>
      <right style="double">
        <color rgb="FF315887"/>
      </right>
      <top style="medium">
        <color theme="3"/>
      </top>
      <bottom/>
      <diagonal/>
    </border>
    <border>
      <left style="double">
        <color rgb="FF294A71"/>
      </left>
      <right style="double">
        <color rgb="FF294A71"/>
      </right>
      <top style="thin">
        <color theme="3"/>
      </top>
      <bottom/>
      <diagonal/>
    </border>
    <border>
      <left style="double">
        <color rgb="FF294A71"/>
      </left>
      <right style="double">
        <color rgb="FF294A71"/>
      </right>
      <top/>
      <bottom/>
      <diagonal/>
    </border>
    <border>
      <left style="double">
        <color rgb="FF294A71"/>
      </left>
      <right style="double">
        <color rgb="FF294A71"/>
      </right>
      <top/>
      <bottom style="thick">
        <color theme="3"/>
      </bottom>
      <diagonal/>
    </border>
    <border>
      <left style="double">
        <color rgb="FF315887"/>
      </left>
      <right style="double">
        <color rgb="FF294A71"/>
      </right>
      <top style="thin">
        <color theme="3"/>
      </top>
      <bottom/>
      <diagonal/>
    </border>
    <border>
      <left style="double">
        <color rgb="FF315887"/>
      </left>
      <right style="double">
        <color rgb="FF294A71"/>
      </right>
      <top/>
      <bottom/>
      <diagonal/>
    </border>
    <border>
      <left style="double">
        <color rgb="FF315887"/>
      </left>
      <right style="double">
        <color rgb="FF294A71"/>
      </right>
      <top/>
      <bottom style="thick">
        <color theme="3"/>
      </bottom>
      <diagonal/>
    </border>
    <border>
      <left style="double">
        <color rgb="FF294A71"/>
      </left>
      <right style="thin">
        <color rgb="FF294A71"/>
      </right>
      <top style="thin">
        <color rgb="FF315887"/>
      </top>
      <bottom style="thin">
        <color theme="3"/>
      </bottom>
      <diagonal/>
    </border>
    <border>
      <left style="thin">
        <color rgb="FF294A71"/>
      </left>
      <right style="thick">
        <color rgb="FF294A71"/>
      </right>
      <top style="thin">
        <color theme="3"/>
      </top>
      <bottom style="thin">
        <color rgb="FF294A71"/>
      </bottom>
      <diagonal/>
    </border>
    <border>
      <left style="thin">
        <color theme="3"/>
      </left>
      <right style="thin">
        <color theme="3"/>
      </right>
      <top style="thin">
        <color theme="3"/>
      </top>
      <bottom style="thin">
        <color theme="3"/>
      </bottom>
      <diagonal/>
    </border>
    <border>
      <left style="double">
        <color theme="3"/>
      </left>
      <right style="double">
        <color theme="3"/>
      </right>
      <top style="thin">
        <color indexed="64"/>
      </top>
      <bottom/>
      <diagonal/>
    </border>
    <border>
      <left style="double">
        <color theme="3"/>
      </left>
      <right style="double">
        <color theme="3"/>
      </right>
      <top style="thin">
        <color indexed="64"/>
      </top>
      <bottom style="thin">
        <color indexed="64"/>
      </bottom>
      <diagonal/>
    </border>
    <border>
      <left style="double">
        <color theme="3"/>
      </left>
      <right style="thin">
        <color theme="3"/>
      </right>
      <top style="thin">
        <color theme="3"/>
      </top>
      <bottom style="thick">
        <color theme="3"/>
      </bottom>
      <diagonal/>
    </border>
    <border>
      <left style="thin">
        <color theme="3"/>
      </left>
      <right style="thick">
        <color theme="3"/>
      </right>
      <top style="thick">
        <color theme="3"/>
      </top>
      <bottom/>
      <diagonal/>
    </border>
    <border>
      <left style="double">
        <color rgb="FF294A71"/>
      </left>
      <right style="double">
        <color rgb="FF294A71"/>
      </right>
      <top style="thick">
        <color theme="3"/>
      </top>
      <bottom/>
      <diagonal/>
    </border>
    <border>
      <left style="double">
        <color rgb="FF294A71"/>
      </left>
      <right style="thick">
        <color theme="3"/>
      </right>
      <top style="thick">
        <color theme="3"/>
      </top>
      <bottom/>
      <diagonal/>
    </border>
    <border>
      <left style="double">
        <color rgb="FF294A71"/>
      </left>
      <right style="thick">
        <color theme="3"/>
      </right>
      <top/>
      <bottom/>
      <diagonal/>
    </border>
    <border>
      <left style="double">
        <color rgb="FF294A71"/>
      </left>
      <right style="thick">
        <color theme="3"/>
      </right>
      <top/>
      <bottom style="thick">
        <color theme="3"/>
      </bottom>
      <diagonal/>
    </border>
    <border>
      <left/>
      <right style="double">
        <color rgb="FF294A71"/>
      </right>
      <top style="thick">
        <color theme="3"/>
      </top>
      <bottom/>
      <diagonal/>
    </border>
    <border>
      <left style="double">
        <color rgb="FF294A71"/>
      </left>
      <right style="double">
        <color theme="3"/>
      </right>
      <top style="thin">
        <color theme="3"/>
      </top>
      <bottom/>
      <diagonal/>
    </border>
    <border>
      <left style="double">
        <color rgb="FF294A71"/>
      </left>
      <right style="double">
        <color theme="3"/>
      </right>
      <top/>
      <bottom/>
      <diagonal/>
    </border>
    <border>
      <left style="double">
        <color rgb="FF294A71"/>
      </left>
      <right style="double">
        <color theme="3"/>
      </right>
      <top/>
      <bottom style="thick">
        <color theme="3"/>
      </bottom>
      <diagonal/>
    </border>
    <border>
      <left style="thick">
        <color rgb="FF294A71"/>
      </left>
      <right/>
      <top style="thick">
        <color rgb="FF294A71"/>
      </top>
      <bottom style="thick">
        <color rgb="FF294A71"/>
      </bottom>
      <diagonal/>
    </border>
    <border>
      <left/>
      <right style="thick">
        <color rgb="FF294A71"/>
      </right>
      <top style="thick">
        <color rgb="FF294A71"/>
      </top>
      <bottom style="thick">
        <color rgb="FF294A71"/>
      </bottom>
      <diagonal/>
    </border>
    <border>
      <left/>
      <right/>
      <top style="medium">
        <color theme="3"/>
      </top>
      <bottom style="thick">
        <color rgb="FF294A71"/>
      </bottom>
      <diagonal/>
    </border>
    <border>
      <left/>
      <right/>
      <top style="medium">
        <color theme="3"/>
      </top>
      <bottom style="thick">
        <color theme="3"/>
      </bottom>
      <diagonal/>
    </border>
    <border>
      <left style="thick">
        <color rgb="FF294A71"/>
      </left>
      <right style="thick">
        <color rgb="FF294A71"/>
      </right>
      <top style="thick">
        <color theme="3"/>
      </top>
      <bottom style="thick">
        <color theme="3"/>
      </bottom>
      <diagonal/>
    </border>
    <border>
      <left style="thick">
        <color rgb="FF294A71"/>
      </left>
      <right/>
      <top style="thick">
        <color theme="3"/>
      </top>
      <bottom style="thick">
        <color theme="3"/>
      </bottom>
      <diagonal/>
    </border>
    <border>
      <left/>
      <right style="thick">
        <color rgb="FF294A71"/>
      </right>
      <top style="thick">
        <color theme="3"/>
      </top>
      <bottom style="thick">
        <color theme="3"/>
      </bottom>
      <diagonal/>
    </border>
    <border>
      <left style="thick">
        <color theme="3"/>
      </left>
      <right/>
      <top style="thick">
        <color theme="3"/>
      </top>
      <bottom/>
      <diagonal/>
    </border>
    <border>
      <left/>
      <right style="thick">
        <color theme="3"/>
      </right>
      <top style="thick">
        <color theme="3"/>
      </top>
      <bottom/>
      <diagonal/>
    </border>
    <border>
      <left style="thick">
        <color theme="3"/>
      </left>
      <right style="thick">
        <color rgb="FF294A71"/>
      </right>
      <top style="thick">
        <color rgb="FF294A71"/>
      </top>
      <bottom style="thick">
        <color theme="3"/>
      </bottom>
      <diagonal/>
    </border>
    <border>
      <left style="thick">
        <color rgb="FF294A71"/>
      </left>
      <right style="thick">
        <color rgb="FF294A71"/>
      </right>
      <top/>
      <bottom style="thick">
        <color theme="3"/>
      </bottom>
      <diagonal/>
    </border>
    <border>
      <left style="thick">
        <color rgb="FF294A71"/>
      </left>
      <right/>
      <top/>
      <bottom style="thick">
        <color theme="3"/>
      </bottom>
      <diagonal/>
    </border>
    <border>
      <left style="thick">
        <color theme="3"/>
      </left>
      <right style="thick">
        <color rgb="FF294A71"/>
      </right>
      <top style="thick">
        <color rgb="FF294A71"/>
      </top>
      <bottom/>
      <diagonal/>
    </border>
    <border>
      <left style="thick">
        <color theme="3"/>
      </left>
      <right style="thick">
        <color rgb="FF294A71"/>
      </right>
      <top/>
      <bottom style="thick">
        <color rgb="FF294A71"/>
      </bottom>
      <diagonal/>
    </border>
    <border>
      <left style="thick">
        <color theme="3"/>
      </left>
      <right style="thick">
        <color rgb="FF294A71"/>
      </right>
      <top style="thick">
        <color theme="3"/>
      </top>
      <bottom style="thick">
        <color theme="3"/>
      </bottom>
      <diagonal/>
    </border>
    <border>
      <left/>
      <right/>
      <top style="thick">
        <color theme="3"/>
      </top>
      <bottom style="thick">
        <color theme="3"/>
      </bottom>
      <diagonal/>
    </border>
    <border>
      <left/>
      <right style="thick">
        <color theme="3"/>
      </right>
      <top style="thick">
        <color theme="3"/>
      </top>
      <bottom style="thick">
        <color theme="3"/>
      </bottom>
      <diagonal/>
    </border>
    <border>
      <left style="thick">
        <color rgb="FF294A71"/>
      </left>
      <right style="thick">
        <color rgb="FF294A71"/>
      </right>
      <top/>
      <bottom/>
      <diagonal/>
    </border>
    <border>
      <left style="thick">
        <color theme="3"/>
      </left>
      <right/>
      <top style="thick">
        <color rgb="FF294A71"/>
      </top>
      <bottom style="thick">
        <color rgb="FF294A71"/>
      </bottom>
      <diagonal/>
    </border>
    <border>
      <left style="thick">
        <color theme="3"/>
      </left>
      <right/>
      <top style="thick">
        <color theme="3"/>
      </top>
      <bottom style="thick">
        <color theme="3"/>
      </bottom>
      <diagonal/>
    </border>
    <border>
      <left style="double">
        <color rgb="FF294A71"/>
      </left>
      <right style="thin">
        <color rgb="FF315887"/>
      </right>
      <top style="thin">
        <color rgb="FF315887"/>
      </top>
      <bottom style="thin">
        <color theme="3"/>
      </bottom>
      <diagonal/>
    </border>
    <border>
      <left style="thick">
        <color rgb="FF294A71"/>
      </left>
      <right/>
      <top/>
      <bottom style="thin">
        <color theme="3"/>
      </bottom>
      <diagonal/>
    </border>
    <border>
      <left style="thick">
        <color theme="3"/>
      </left>
      <right/>
      <top style="thin">
        <color theme="3"/>
      </top>
      <bottom style="thin">
        <color theme="3"/>
      </bottom>
      <diagonal/>
    </border>
    <border>
      <left style="thick">
        <color theme="3"/>
      </left>
      <right style="thin">
        <color theme="3"/>
      </right>
      <top style="thin">
        <color theme="3"/>
      </top>
      <bottom style="thick">
        <color rgb="FF315887"/>
      </bottom>
      <diagonal/>
    </border>
    <border>
      <left/>
      <right style="thin">
        <color theme="3"/>
      </right>
      <top style="thin">
        <color theme="3"/>
      </top>
      <bottom style="thick">
        <color theme="3"/>
      </bottom>
      <diagonal/>
    </border>
    <border>
      <left style="thin">
        <color theme="3"/>
      </left>
      <right style="thick">
        <color theme="3"/>
      </right>
      <top style="thin">
        <color theme="3"/>
      </top>
      <bottom style="thin">
        <color theme="3"/>
      </bottom>
      <diagonal/>
    </border>
    <border>
      <left style="thin">
        <color rgb="FF315887"/>
      </left>
      <right style="double">
        <color theme="3"/>
      </right>
      <top/>
      <bottom style="medium">
        <color theme="3"/>
      </bottom>
      <diagonal/>
    </border>
    <border>
      <left style="thin">
        <color rgb="FF294A71"/>
      </left>
      <right style="double">
        <color theme="3"/>
      </right>
      <top style="thin">
        <color theme="3"/>
      </top>
      <bottom/>
      <diagonal/>
    </border>
    <border>
      <left style="thin">
        <color rgb="FF294A71"/>
      </left>
      <right style="double">
        <color theme="3"/>
      </right>
      <top style="thin">
        <color theme="3"/>
      </top>
      <bottom style="thin">
        <color theme="3"/>
      </bottom>
      <diagonal/>
    </border>
    <border>
      <left style="thin">
        <color rgb="FF294A71"/>
      </left>
      <right style="double">
        <color theme="3"/>
      </right>
      <top style="thin">
        <color theme="3"/>
      </top>
      <bottom style="thick">
        <color theme="3"/>
      </bottom>
      <diagonal/>
    </border>
    <border>
      <left style="thin">
        <color theme="3"/>
      </left>
      <right style="double">
        <color theme="3"/>
      </right>
      <top style="thin">
        <color theme="3"/>
      </top>
      <bottom/>
      <diagonal/>
    </border>
    <border>
      <left style="thin">
        <color theme="3"/>
      </left>
      <right style="thin">
        <color rgb="FF294A71"/>
      </right>
      <top/>
      <bottom/>
      <diagonal/>
    </border>
    <border>
      <left style="thin">
        <color rgb="FF294A71"/>
      </left>
      <right style="thin">
        <color theme="3"/>
      </right>
      <top/>
      <bottom/>
      <diagonal/>
    </border>
    <border>
      <left style="double">
        <color theme="3"/>
      </left>
      <right style="thin">
        <color theme="3"/>
      </right>
      <top style="thin">
        <color theme="3"/>
      </top>
      <bottom style="thin">
        <color theme="3"/>
      </bottom>
      <diagonal/>
    </border>
    <border>
      <left style="thin">
        <color theme="3"/>
      </left>
      <right style="thick">
        <color theme="3"/>
      </right>
      <top style="thin">
        <color theme="3"/>
      </top>
      <bottom style="thick">
        <color theme="3"/>
      </bottom>
      <diagonal/>
    </border>
    <border>
      <left style="thin">
        <color theme="3"/>
      </left>
      <right style="thick">
        <color theme="3"/>
      </right>
      <top style="thin">
        <color theme="3"/>
      </top>
      <bottom/>
      <diagonal/>
    </border>
    <border>
      <left style="double">
        <color theme="3"/>
      </left>
      <right/>
      <top style="thin">
        <color theme="3"/>
      </top>
      <bottom style="thin">
        <color theme="3"/>
      </bottom>
      <diagonal/>
    </border>
    <border>
      <left/>
      <right/>
      <top style="thin">
        <color theme="3"/>
      </top>
      <bottom style="thin">
        <color indexed="64"/>
      </bottom>
      <diagonal/>
    </border>
    <border>
      <left/>
      <right/>
      <top style="thin">
        <color indexed="64"/>
      </top>
      <bottom style="thick">
        <color theme="3"/>
      </bottom>
      <diagonal/>
    </border>
    <border>
      <left/>
      <right style="double">
        <color indexed="64"/>
      </right>
      <top/>
      <bottom/>
      <diagonal/>
    </border>
    <border>
      <left/>
      <right style="double">
        <color indexed="64"/>
      </right>
      <top/>
      <bottom style="thick">
        <color theme="3"/>
      </bottom>
      <diagonal/>
    </border>
    <border>
      <left/>
      <right/>
      <top style="thick">
        <color indexed="64"/>
      </top>
      <bottom/>
      <diagonal/>
    </border>
    <border>
      <left style="thin">
        <color indexed="64"/>
      </left>
      <right style="thin">
        <color indexed="64"/>
      </right>
      <top style="thin">
        <color indexed="64"/>
      </top>
      <bottom/>
      <diagonal/>
    </border>
    <border>
      <left style="thick">
        <color indexed="64"/>
      </left>
      <right style="thick">
        <color indexed="64"/>
      </right>
      <top style="thick">
        <color indexed="64"/>
      </top>
      <bottom style="thick">
        <color indexed="64"/>
      </bottom>
      <diagonal/>
    </border>
    <border>
      <left style="thin">
        <color rgb="FF294A71"/>
      </left>
      <right style="double">
        <color rgb="FF294A71"/>
      </right>
      <top/>
      <bottom/>
      <diagonal/>
    </border>
    <border>
      <left style="thin">
        <color indexed="64"/>
      </left>
      <right/>
      <top style="thin">
        <color indexed="64"/>
      </top>
      <bottom style="thin">
        <color indexed="64"/>
      </bottom>
      <diagonal/>
    </border>
    <border>
      <left style="thin">
        <color rgb="FF294A71"/>
      </left>
      <right style="thin">
        <color rgb="FF294A71"/>
      </right>
      <top style="thin">
        <color indexed="64"/>
      </top>
      <bottom/>
      <diagonal/>
    </border>
    <border>
      <left style="thin">
        <color rgb="FF294A71"/>
      </left>
      <right style="thin">
        <color rgb="FF294A71"/>
      </right>
      <top style="thin">
        <color indexed="64"/>
      </top>
      <bottom style="thick">
        <color rgb="FF294A71"/>
      </bottom>
      <diagonal/>
    </border>
    <border>
      <left style="thin">
        <color rgb="FF294A71"/>
      </left>
      <right style="thin">
        <color rgb="FF294A71"/>
      </right>
      <top style="medium">
        <color theme="3"/>
      </top>
      <bottom style="thin">
        <color indexed="64"/>
      </bottom>
      <diagonal/>
    </border>
    <border>
      <left style="thin">
        <color rgb="FF294A71"/>
      </left>
      <right style="double">
        <color rgb="FF294A71"/>
      </right>
      <top style="thin">
        <color indexed="64"/>
      </top>
      <bottom style="thin">
        <color indexed="64"/>
      </bottom>
      <diagonal/>
    </border>
    <border>
      <left style="double">
        <color indexed="64"/>
      </left>
      <right style="thin">
        <color rgb="FF294A71"/>
      </right>
      <top style="thin">
        <color rgb="FF294A71"/>
      </top>
      <bottom style="thin">
        <color rgb="FF294A71"/>
      </bottom>
      <diagonal/>
    </border>
    <border>
      <left style="thin">
        <color rgb="FF294A71"/>
      </left>
      <right/>
      <top style="thin">
        <color indexed="64"/>
      </top>
      <bottom style="thin">
        <color indexed="64"/>
      </bottom>
      <diagonal/>
    </border>
    <border>
      <left/>
      <right/>
      <top style="medium">
        <color theme="3"/>
      </top>
      <bottom/>
      <diagonal/>
    </border>
    <border>
      <left style="thin">
        <color indexed="64"/>
      </left>
      <right style="thin">
        <color rgb="FF315887"/>
      </right>
      <top/>
      <bottom style="thin">
        <color indexed="64"/>
      </bottom>
      <diagonal/>
    </border>
    <border>
      <left style="thin">
        <color rgb="FF315887"/>
      </left>
      <right style="thin">
        <color indexed="64"/>
      </right>
      <top/>
      <bottom style="thin">
        <color indexed="64"/>
      </bottom>
      <diagonal/>
    </border>
    <border>
      <left style="thin">
        <color rgb="FF294A71"/>
      </left>
      <right style="thin">
        <color rgb="FF315887"/>
      </right>
      <top style="thin">
        <color indexed="64"/>
      </top>
      <bottom/>
      <diagonal/>
    </border>
    <border>
      <left style="thin">
        <color indexed="64"/>
      </left>
      <right style="thin">
        <color rgb="FF315887"/>
      </right>
      <top style="thin">
        <color indexed="64"/>
      </top>
      <bottom/>
      <diagonal/>
    </border>
    <border>
      <left style="thin">
        <color rgb="FF315887"/>
      </left>
      <right style="thin">
        <color indexed="64"/>
      </right>
      <top style="thin">
        <color indexed="64"/>
      </top>
      <bottom style="thin">
        <color theme="3"/>
      </bottom>
      <diagonal/>
    </border>
    <border>
      <left style="thin">
        <color rgb="FF315887"/>
      </left>
      <right style="thin">
        <color indexed="64"/>
      </right>
      <top style="thin">
        <color theme="3"/>
      </top>
      <bottom style="thin">
        <color theme="3"/>
      </bottom>
      <diagonal/>
    </border>
    <border>
      <left style="thin">
        <color indexed="64"/>
      </left>
      <right style="thin">
        <color rgb="FF315887"/>
      </right>
      <top style="thin">
        <color theme="3"/>
      </top>
      <bottom style="thin">
        <color indexed="64"/>
      </bottom>
      <diagonal/>
    </border>
    <border>
      <left style="thin">
        <color indexed="64"/>
      </left>
      <right style="thin">
        <color rgb="FF315887"/>
      </right>
      <top style="thin">
        <color theme="3"/>
      </top>
      <bottom/>
      <diagonal/>
    </border>
  </borders>
  <cellStyleXfs count="6">
    <xf numFmtId="0" fontId="0" fillId="0" borderId="0"/>
    <xf numFmtId="44" fontId="6" fillId="0" borderId="0" applyFont="0" applyFill="0" applyBorder="0" applyAlignment="0" applyProtection="0"/>
    <xf numFmtId="9" fontId="6" fillId="0" borderId="0" applyFont="0" applyFill="0" applyBorder="0" applyAlignment="0" applyProtection="0"/>
    <xf numFmtId="43" fontId="6" fillId="0" borderId="0" applyFont="0" applyFill="0" applyBorder="0" applyAlignment="0" applyProtection="0"/>
    <xf numFmtId="0" fontId="30" fillId="0" borderId="0"/>
    <xf numFmtId="0" fontId="45" fillId="0" borderId="0" applyNumberFormat="0" applyFill="0" applyBorder="0" applyAlignment="0" applyProtection="0"/>
  </cellStyleXfs>
  <cellXfs count="984">
    <xf numFmtId="0" fontId="0" fillId="0" borderId="0" xfId="0"/>
    <xf numFmtId="0" fontId="0" fillId="3" borderId="0" xfId="0" applyFill="1"/>
    <xf numFmtId="0" fontId="0" fillId="4" borderId="0" xfId="0" applyFill="1"/>
    <xf numFmtId="0" fontId="0" fillId="5" borderId="0" xfId="0" applyFill="1"/>
    <xf numFmtId="0" fontId="0" fillId="6" borderId="3" xfId="0" applyFont="1" applyFill="1" applyBorder="1"/>
    <xf numFmtId="0" fontId="4" fillId="2" borderId="1" xfId="0" applyFont="1" applyFill="1" applyBorder="1" applyAlignment="1">
      <alignment horizontal="center" vertical="center"/>
    </xf>
    <xf numFmtId="0" fontId="4" fillId="2" borderId="2" xfId="0" applyFont="1" applyFill="1" applyBorder="1" applyAlignment="1">
      <alignment horizontal="center" wrapText="1"/>
    </xf>
    <xf numFmtId="0" fontId="0" fillId="4" borderId="0" xfId="0" applyFill="1" applyBorder="1"/>
    <xf numFmtId="0" fontId="3" fillId="5" borderId="0" xfId="0" applyFont="1" applyFill="1" applyAlignment="1">
      <alignment vertical="center"/>
    </xf>
    <xf numFmtId="0" fontId="2" fillId="4" borderId="0" xfId="0" applyFont="1" applyFill="1"/>
    <xf numFmtId="0" fontId="2" fillId="4" borderId="0" xfId="0" applyFont="1" applyFill="1" applyAlignment="1">
      <alignment horizontal="center"/>
    </xf>
    <xf numFmtId="0" fontId="4" fillId="2" borderId="4" xfId="0" applyFont="1" applyFill="1" applyBorder="1" applyAlignment="1">
      <alignment horizontal="center" vertical="center" wrapText="1"/>
    </xf>
    <xf numFmtId="3" fontId="2" fillId="4" borderId="0" xfId="0" applyNumberFormat="1" applyFont="1" applyFill="1" applyAlignment="1">
      <alignment horizontal="center"/>
    </xf>
    <xf numFmtId="0" fontId="4" fillId="2" borderId="2" xfId="0" applyFont="1" applyFill="1" applyBorder="1" applyAlignment="1">
      <alignment horizontal="center" vertical="center" wrapText="1"/>
    </xf>
    <xf numFmtId="0" fontId="4" fillId="2" borderId="0" xfId="0" applyFont="1" applyFill="1" applyBorder="1" applyAlignment="1">
      <alignment horizontal="center" vertical="center"/>
    </xf>
    <xf numFmtId="0" fontId="1" fillId="7" borderId="10" xfId="0" applyFont="1" applyFill="1" applyBorder="1" applyAlignment="1">
      <alignment horizontal="center" vertical="center" wrapText="1"/>
    </xf>
    <xf numFmtId="0" fontId="0" fillId="4" borderId="0" xfId="0" quotePrefix="1" applyFill="1"/>
    <xf numFmtId="0" fontId="9" fillId="4" borderId="0" xfId="0" applyFont="1" applyFill="1"/>
    <xf numFmtId="0" fontId="10" fillId="4" borderId="0" xfId="0" applyFont="1" applyFill="1" applyAlignment="1">
      <alignment horizontal="center"/>
    </xf>
    <xf numFmtId="0" fontId="9" fillId="4" borderId="0" xfId="0" applyFont="1" applyFill="1" applyBorder="1"/>
    <xf numFmtId="0" fontId="2" fillId="4" borderId="0" xfId="0" applyFont="1" applyFill="1" applyAlignment="1">
      <alignment horizontal="center"/>
    </xf>
    <xf numFmtId="0" fontId="4" fillId="2" borderId="23" xfId="0" applyFont="1" applyFill="1" applyBorder="1" applyAlignment="1">
      <alignment horizontal="center" wrapText="1"/>
    </xf>
    <xf numFmtId="0" fontId="0" fillId="6" borderId="24" xfId="0" applyFont="1" applyFill="1" applyBorder="1"/>
    <xf numFmtId="0" fontId="0" fillId="8" borderId="24" xfId="0" applyFill="1" applyBorder="1"/>
    <xf numFmtId="0" fontId="0" fillId="4" borderId="7" xfId="0" applyFill="1" applyBorder="1"/>
    <xf numFmtId="0" fontId="4" fillId="2" borderId="36" xfId="0" applyFont="1" applyFill="1" applyBorder="1" applyAlignment="1">
      <alignment horizontal="center" vertical="center" wrapText="1"/>
    </xf>
    <xf numFmtId="0" fontId="0" fillId="6" borderId="38" xfId="0" applyFill="1" applyBorder="1" applyAlignment="1">
      <alignment horizontal="center"/>
    </xf>
    <xf numFmtId="0" fontId="0" fillId="6" borderId="37" xfId="0" applyFill="1" applyBorder="1" applyAlignment="1">
      <alignment horizontal="center"/>
    </xf>
    <xf numFmtId="0" fontId="7" fillId="8" borderId="40" xfId="0" applyFont="1" applyFill="1" applyBorder="1"/>
    <xf numFmtId="0" fontId="7" fillId="8" borderId="44" xfId="0" applyFont="1" applyFill="1" applyBorder="1"/>
    <xf numFmtId="1" fontId="7" fillId="8" borderId="43" xfId="0" applyNumberFormat="1" applyFont="1" applyFill="1" applyBorder="1" applyAlignment="1">
      <alignment horizontal="center"/>
    </xf>
    <xf numFmtId="165" fontId="7" fillId="8" borderId="45" xfId="0" applyNumberFormat="1" applyFont="1" applyFill="1" applyBorder="1" applyAlignment="1">
      <alignment horizontal="center"/>
    </xf>
    <xf numFmtId="165" fontId="7" fillId="8" borderId="42" xfId="0" applyNumberFormat="1" applyFont="1" applyFill="1" applyBorder="1" applyAlignment="1">
      <alignment horizontal="center"/>
    </xf>
    <xf numFmtId="0" fontId="8" fillId="7" borderId="21"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13" fillId="4" borderId="0" xfId="0" applyFont="1" applyFill="1"/>
    <xf numFmtId="0" fontId="2" fillId="4" borderId="0" xfId="0" applyFont="1" applyFill="1" applyBorder="1" applyAlignment="1">
      <alignment horizontal="center"/>
    </xf>
    <xf numFmtId="0" fontId="4" fillId="4" borderId="0" xfId="0" applyFont="1" applyFill="1" applyBorder="1" applyAlignment="1">
      <alignment horizontal="center"/>
    </xf>
    <xf numFmtId="0" fontId="4" fillId="2" borderId="49" xfId="0" applyFont="1" applyFill="1" applyBorder="1" applyAlignment="1">
      <alignment horizontal="center" vertical="center" wrapText="1"/>
    </xf>
    <xf numFmtId="0" fontId="0" fillId="4" borderId="58" xfId="0" applyFill="1" applyBorder="1"/>
    <xf numFmtId="0" fontId="1" fillId="7" borderId="59" xfId="0" applyFont="1" applyFill="1" applyBorder="1" applyAlignment="1">
      <alignment horizontal="center" vertical="center" wrapText="1"/>
    </xf>
    <xf numFmtId="9" fontId="5" fillId="6" borderId="22" xfId="2" applyFont="1" applyFill="1" applyBorder="1" applyAlignment="1">
      <alignment horizontal="center" vertical="center"/>
    </xf>
    <xf numFmtId="6" fontId="0" fillId="4" borderId="0" xfId="0" applyNumberFormat="1" applyFill="1" applyBorder="1"/>
    <xf numFmtId="0" fontId="4" fillId="2" borderId="0" xfId="0" applyFont="1" applyFill="1" applyBorder="1" applyAlignment="1">
      <alignment horizontal="center"/>
    </xf>
    <xf numFmtId="9" fontId="5" fillId="6" borderId="60" xfId="2" applyFont="1" applyFill="1" applyBorder="1" applyAlignment="1">
      <alignment horizontal="center" vertical="center"/>
    </xf>
    <xf numFmtId="9" fontId="5" fillId="6" borderId="61" xfId="2" applyFont="1" applyFill="1" applyBorder="1" applyAlignment="1">
      <alignment horizontal="center" vertical="center"/>
    </xf>
    <xf numFmtId="0" fontId="0" fillId="4" borderId="0" xfId="0" applyFill="1" applyAlignment="1">
      <alignment horizontal="center"/>
    </xf>
    <xf numFmtId="9" fontId="5" fillId="6" borderId="43" xfId="0" applyNumberFormat="1" applyFont="1" applyFill="1" applyBorder="1" applyAlignment="1">
      <alignment horizontal="center" vertical="center"/>
    </xf>
    <xf numFmtId="9" fontId="5" fillId="6" borderId="62" xfId="0" applyNumberFormat="1" applyFont="1" applyFill="1" applyBorder="1" applyAlignment="1">
      <alignment horizontal="center" vertical="center"/>
    </xf>
    <xf numFmtId="9" fontId="5" fillId="6" borderId="63" xfId="2" applyFont="1" applyFill="1" applyBorder="1" applyAlignment="1">
      <alignment horizontal="center" vertical="center"/>
    </xf>
    <xf numFmtId="9" fontId="5" fillId="4" borderId="0" xfId="0" applyNumberFormat="1" applyFont="1" applyFill="1" applyBorder="1" applyAlignment="1">
      <alignment horizontal="center" vertical="center"/>
    </xf>
    <xf numFmtId="0" fontId="0" fillId="4" borderId="0" xfId="0" applyFill="1" applyBorder="1" applyAlignment="1">
      <alignment horizontal="center"/>
    </xf>
    <xf numFmtId="0" fontId="0" fillId="4" borderId="58" xfId="0" applyFill="1" applyBorder="1" applyAlignment="1">
      <alignment horizontal="center"/>
    </xf>
    <xf numFmtId="0" fontId="7" fillId="7" borderId="64" xfId="0" applyFont="1" applyFill="1" applyBorder="1" applyAlignment="1">
      <alignment horizontal="center" vertical="center" wrapText="1"/>
    </xf>
    <xf numFmtId="0" fontId="7" fillId="7" borderId="65" xfId="0" applyFont="1" applyFill="1" applyBorder="1" applyAlignment="1">
      <alignment horizontal="center" vertical="center" wrapText="1"/>
    </xf>
    <xf numFmtId="0" fontId="7" fillId="7" borderId="59" xfId="0" applyFont="1" applyFill="1" applyBorder="1" applyAlignment="1">
      <alignment horizontal="center" vertical="center" wrapText="1"/>
    </xf>
    <xf numFmtId="0" fontId="7" fillId="7" borderId="10" xfId="0" applyFont="1" applyFill="1" applyBorder="1" applyAlignment="1">
      <alignment horizontal="center" vertical="center" wrapText="1"/>
    </xf>
    <xf numFmtId="0" fontId="7" fillId="7" borderId="68" xfId="0" applyFont="1" applyFill="1" applyBorder="1" applyAlignment="1">
      <alignment horizontal="center" vertical="center" wrapText="1"/>
    </xf>
    <xf numFmtId="0" fontId="7" fillId="7" borderId="17" xfId="0" applyFont="1" applyFill="1" applyBorder="1" applyAlignment="1">
      <alignment horizontal="center" vertical="center" wrapText="1"/>
    </xf>
    <xf numFmtId="0" fontId="0" fillId="9" borderId="0" xfId="0" applyFill="1"/>
    <xf numFmtId="0" fontId="11" fillId="9" borderId="0" xfId="0" applyFont="1" applyFill="1" applyAlignment="1">
      <alignment vertical="center"/>
    </xf>
    <xf numFmtId="6" fontId="7" fillId="8" borderId="19" xfId="0" applyNumberFormat="1" applyFont="1" applyFill="1" applyBorder="1" applyAlignment="1">
      <alignment horizontal="center"/>
    </xf>
    <xf numFmtId="6" fontId="7" fillId="8" borderId="18" xfId="0" applyNumberFormat="1" applyFont="1" applyFill="1" applyBorder="1" applyAlignment="1">
      <alignment horizontal="center"/>
    </xf>
    <xf numFmtId="165" fontId="7" fillId="8" borderId="69" xfId="0" applyNumberFormat="1" applyFont="1" applyFill="1" applyBorder="1" applyAlignment="1">
      <alignment horizontal="center"/>
    </xf>
    <xf numFmtId="0" fontId="7" fillId="8" borderId="40" xfId="0" applyFont="1" applyFill="1" applyBorder="1" applyAlignment="1">
      <alignment wrapText="1"/>
    </xf>
    <xf numFmtId="0" fontId="7" fillId="8" borderId="40" xfId="0" applyFont="1" applyFill="1" applyBorder="1" applyAlignment="1">
      <alignment horizontal="left" wrapText="1"/>
    </xf>
    <xf numFmtId="0" fontId="18" fillId="4" borderId="0" xfId="0" applyFont="1" applyFill="1"/>
    <xf numFmtId="0" fontId="0" fillId="10" borderId="0" xfId="0" applyFill="1"/>
    <xf numFmtId="0" fontId="4" fillId="4" borderId="0" xfId="0" applyFont="1" applyFill="1" applyBorder="1" applyAlignment="1"/>
    <xf numFmtId="1" fontId="8" fillId="4" borderId="0" xfId="0" applyNumberFormat="1" applyFont="1" applyFill="1" applyBorder="1" applyAlignment="1">
      <alignment horizontal="center"/>
    </xf>
    <xf numFmtId="9" fontId="2" fillId="4" borderId="0" xfId="2" applyFont="1" applyFill="1" applyBorder="1" applyAlignment="1">
      <alignment horizontal="center"/>
    </xf>
    <xf numFmtId="0" fontId="4" fillId="2" borderId="72" xfId="0" applyFont="1" applyFill="1" applyBorder="1" applyAlignment="1">
      <alignment horizontal="center" wrapText="1"/>
    </xf>
    <xf numFmtId="1" fontId="0" fillId="3" borderId="0" xfId="0" applyNumberFormat="1" applyFill="1"/>
    <xf numFmtId="1" fontId="0" fillId="4" borderId="0" xfId="0" applyNumberFormat="1" applyFill="1"/>
    <xf numFmtId="1" fontId="4" fillId="2" borderId="0" xfId="0" applyNumberFormat="1" applyFont="1" applyFill="1" applyBorder="1" applyAlignment="1"/>
    <xf numFmtId="1" fontId="4" fillId="4" borderId="0" xfId="0" applyNumberFormat="1" applyFont="1" applyFill="1" applyBorder="1" applyAlignment="1"/>
    <xf numFmtId="1" fontId="9" fillId="4" borderId="0" xfId="0" applyNumberFormat="1" applyFont="1" applyFill="1"/>
    <xf numFmtId="0" fontId="0" fillId="12" borderId="0" xfId="0" applyFill="1"/>
    <xf numFmtId="1" fontId="8" fillId="8" borderId="71" xfId="0" applyNumberFormat="1" applyFont="1" applyFill="1" applyBorder="1" applyAlignment="1">
      <alignment horizontal="center"/>
    </xf>
    <xf numFmtId="8" fontId="0" fillId="4" borderId="0" xfId="0" applyNumberFormat="1" applyFill="1"/>
    <xf numFmtId="9" fontId="0" fillId="0" borderId="0" xfId="0" applyNumberFormat="1"/>
    <xf numFmtId="0" fontId="3" fillId="11" borderId="0" xfId="0" applyFont="1" applyFill="1" applyAlignment="1">
      <alignment vertical="center"/>
    </xf>
    <xf numFmtId="1" fontId="0" fillId="0" borderId="0" xfId="0" applyNumberFormat="1"/>
    <xf numFmtId="6" fontId="0" fillId="0" borderId="0" xfId="0" applyNumberFormat="1"/>
    <xf numFmtId="8" fontId="0" fillId="0" borderId="0" xfId="0" applyNumberFormat="1"/>
    <xf numFmtId="42" fontId="0" fillId="0" borderId="0" xfId="0" applyNumberFormat="1"/>
    <xf numFmtId="0" fontId="0" fillId="0" borderId="0" xfId="0" applyAlignment="1">
      <alignment wrapText="1"/>
    </xf>
    <xf numFmtId="165" fontId="0" fillId="0" borderId="0" xfId="0" applyNumberFormat="1"/>
    <xf numFmtId="0" fontId="4" fillId="2" borderId="76" xfId="0" applyFont="1" applyFill="1" applyBorder="1" applyAlignment="1">
      <alignment horizontal="center" wrapText="1"/>
    </xf>
    <xf numFmtId="0" fontId="3" fillId="9" borderId="0" xfId="0" applyFont="1" applyFill="1" applyAlignment="1">
      <alignment horizontal="center"/>
    </xf>
    <xf numFmtId="0" fontId="7" fillId="7" borderId="19" xfId="0" applyFont="1" applyFill="1" applyBorder="1" applyAlignment="1">
      <alignment horizontal="center" vertical="center" wrapText="1"/>
    </xf>
    <xf numFmtId="164" fontId="0" fillId="4" borderId="0" xfId="0" applyNumberFormat="1" applyFill="1" applyBorder="1"/>
    <xf numFmtId="0" fontId="3" fillId="9" borderId="0" xfId="0" applyFont="1" applyFill="1" applyAlignment="1">
      <alignment horizontal="center" vertical="center"/>
    </xf>
    <xf numFmtId="0" fontId="3" fillId="9" borderId="0" xfId="0" applyFont="1" applyFill="1" applyAlignment="1">
      <alignment vertical="center"/>
    </xf>
    <xf numFmtId="1" fontId="8" fillId="4" borderId="58" xfId="0" applyNumberFormat="1" applyFont="1" applyFill="1" applyBorder="1" applyAlignment="1">
      <alignment horizontal="center"/>
    </xf>
    <xf numFmtId="0" fontId="19" fillId="4" borderId="0" xfId="0" applyFont="1" applyFill="1" applyAlignment="1"/>
    <xf numFmtId="0" fontId="4" fillId="2" borderId="0" xfId="0" applyFont="1" applyFill="1" applyBorder="1" applyAlignment="1">
      <alignment horizontal="center" vertical="center"/>
    </xf>
    <xf numFmtId="0" fontId="10" fillId="4" borderId="0" xfId="0" applyFont="1" applyFill="1" applyBorder="1" applyAlignment="1">
      <alignment horizontal="right"/>
    </xf>
    <xf numFmtId="0" fontId="20" fillId="4" borderId="0" xfId="0" applyFont="1" applyFill="1" applyAlignment="1">
      <alignment wrapText="1"/>
    </xf>
    <xf numFmtId="0" fontId="1" fillId="4" borderId="0" xfId="0" applyFont="1" applyFill="1"/>
    <xf numFmtId="0" fontId="1" fillId="4" borderId="0" xfId="0" applyFont="1" applyFill="1" applyAlignment="1">
      <alignment horizontal="center"/>
    </xf>
    <xf numFmtId="0" fontId="23" fillId="4" borderId="0" xfId="0" applyFont="1" applyFill="1"/>
    <xf numFmtId="165" fontId="2" fillId="4" borderId="0" xfId="0" applyNumberFormat="1" applyFont="1" applyFill="1" applyBorder="1" applyAlignment="1">
      <alignment horizontal="center" vertical="center"/>
    </xf>
    <xf numFmtId="0" fontId="4" fillId="2" borderId="79" xfId="0" applyFont="1" applyFill="1" applyBorder="1" applyAlignment="1">
      <alignment horizontal="center" vertical="center"/>
    </xf>
    <xf numFmtId="0" fontId="4" fillId="2" borderId="78" xfId="0" applyFont="1" applyFill="1" applyBorder="1" applyAlignment="1">
      <alignment horizontal="center" vertical="center" wrapText="1"/>
    </xf>
    <xf numFmtId="0" fontId="4" fillId="4" borderId="74" xfId="0" applyFont="1" applyFill="1" applyBorder="1" applyAlignment="1">
      <alignment horizontal="center" vertical="center"/>
    </xf>
    <xf numFmtId="0" fontId="0" fillId="4" borderId="16" xfId="0" applyFill="1" applyBorder="1"/>
    <xf numFmtId="0" fontId="0" fillId="4" borderId="80" xfId="0" applyFill="1" applyBorder="1"/>
    <xf numFmtId="0" fontId="1" fillId="4" borderId="16" xfId="0" applyFont="1" applyFill="1" applyBorder="1" applyAlignment="1">
      <alignment horizontal="center" vertical="center" wrapText="1"/>
    </xf>
    <xf numFmtId="0" fontId="4" fillId="2" borderId="80" xfId="0" applyFont="1" applyFill="1" applyBorder="1" applyAlignment="1"/>
    <xf numFmtId="0" fontId="1" fillId="7" borderId="17" xfId="0" applyFont="1" applyFill="1" applyBorder="1" applyAlignment="1">
      <alignment horizontal="center" vertical="center" wrapText="1"/>
    </xf>
    <xf numFmtId="164" fontId="5" fillId="4" borderId="16" xfId="0" applyNumberFormat="1" applyFont="1" applyFill="1" applyBorder="1" applyAlignment="1">
      <alignment horizontal="center" vertical="center"/>
    </xf>
    <xf numFmtId="0" fontId="4" fillId="4" borderId="74" xfId="0" applyFont="1" applyFill="1" applyBorder="1" applyAlignment="1"/>
    <xf numFmtId="164" fontId="5" fillId="4" borderId="80" xfId="0" applyNumberFormat="1" applyFont="1" applyFill="1" applyBorder="1" applyAlignment="1">
      <alignment horizontal="center" vertical="center"/>
    </xf>
    <xf numFmtId="0" fontId="4" fillId="2" borderId="15" xfId="0" applyFont="1" applyFill="1" applyBorder="1" applyAlignment="1">
      <alignment horizontal="center" vertical="center"/>
    </xf>
    <xf numFmtId="0" fontId="4" fillId="2" borderId="12" xfId="0" applyFont="1" applyFill="1" applyBorder="1" applyAlignment="1">
      <alignment horizontal="center" vertical="center" wrapText="1"/>
    </xf>
    <xf numFmtId="0" fontId="4" fillId="4" borderId="16" xfId="0" applyFont="1" applyFill="1" applyBorder="1" applyAlignment="1">
      <alignment horizontal="center" vertical="center"/>
    </xf>
    <xf numFmtId="0" fontId="4" fillId="4" borderId="16" xfId="0" applyFont="1" applyFill="1" applyBorder="1" applyAlignment="1">
      <alignment horizontal="center" vertical="center" wrapText="1"/>
    </xf>
    <xf numFmtId="9" fontId="5" fillId="4" borderId="16" xfId="0" applyNumberFormat="1" applyFont="1" applyFill="1" applyBorder="1" applyAlignment="1">
      <alignment horizontal="center" vertical="center" wrapText="1"/>
    </xf>
    <xf numFmtId="0" fontId="4" fillId="2" borderId="6" xfId="0" applyFont="1" applyFill="1" applyBorder="1" applyAlignment="1">
      <alignment vertical="center"/>
    </xf>
    <xf numFmtId="0" fontId="4" fillId="2" borderId="46" xfId="0" applyFont="1" applyFill="1" applyBorder="1" applyAlignment="1">
      <alignment vertical="center"/>
    </xf>
    <xf numFmtId="0" fontId="4" fillId="2" borderId="16" xfId="0" applyFont="1" applyFill="1" applyBorder="1" applyAlignment="1">
      <alignment horizontal="center" vertical="center"/>
    </xf>
    <xf numFmtId="0" fontId="4" fillId="4" borderId="16" xfId="0" applyFont="1" applyFill="1" applyBorder="1" applyAlignment="1">
      <alignment vertical="center"/>
    </xf>
    <xf numFmtId="0" fontId="7" fillId="4" borderId="16" xfId="0" applyFont="1" applyFill="1" applyBorder="1" applyAlignment="1">
      <alignment horizontal="center" vertical="center" wrapText="1"/>
    </xf>
    <xf numFmtId="0" fontId="4" fillId="2" borderId="43" xfId="0" applyFont="1" applyFill="1" applyBorder="1" applyAlignment="1"/>
    <xf numFmtId="0" fontId="7" fillId="7" borderId="19" xfId="0" applyFont="1" applyFill="1" applyBorder="1" applyAlignment="1">
      <alignment horizontal="center" wrapText="1"/>
    </xf>
    <xf numFmtId="0" fontId="4" fillId="2" borderId="0" xfId="0" applyFont="1" applyFill="1" applyBorder="1" applyAlignment="1"/>
    <xf numFmtId="0" fontId="4" fillId="4" borderId="16" xfId="0" applyFont="1" applyFill="1" applyBorder="1" applyAlignment="1">
      <alignment horizontal="center"/>
    </xf>
    <xf numFmtId="165" fontId="8" fillId="4" borderId="16" xfId="0" applyNumberFormat="1" applyFont="1" applyFill="1" applyBorder="1" applyAlignment="1">
      <alignment horizontal="center" vertical="center"/>
    </xf>
    <xf numFmtId="165" fontId="5" fillId="4" borderId="16" xfId="0" applyNumberFormat="1" applyFont="1" applyFill="1" applyBorder="1" applyAlignment="1">
      <alignment horizontal="center" vertical="center"/>
    </xf>
    <xf numFmtId="1" fontId="7" fillId="8" borderId="80" xfId="0" applyNumberFormat="1" applyFont="1" applyFill="1" applyBorder="1" applyAlignment="1">
      <alignment horizontal="center"/>
    </xf>
    <xf numFmtId="0" fontId="8" fillId="4" borderId="16" xfId="0" applyFont="1" applyFill="1" applyBorder="1" applyAlignment="1">
      <alignment horizontal="center" vertical="center" wrapText="1"/>
    </xf>
    <xf numFmtId="1" fontId="7" fillId="4" borderId="16" xfId="0" applyNumberFormat="1" applyFont="1" applyFill="1" applyBorder="1" applyAlignment="1">
      <alignment horizontal="center"/>
    </xf>
    <xf numFmtId="0" fontId="0" fillId="4" borderId="0" xfId="0" applyFont="1" applyFill="1"/>
    <xf numFmtId="0" fontId="0" fillId="4" borderId="87" xfId="0" applyFill="1" applyBorder="1"/>
    <xf numFmtId="0" fontId="0" fillId="0" borderId="0" xfId="0" applyAlignment="1">
      <alignment horizontal="center"/>
    </xf>
    <xf numFmtId="0" fontId="0" fillId="0" borderId="0" xfId="0" applyAlignment="1">
      <alignment vertical="center"/>
    </xf>
    <xf numFmtId="42" fontId="0" fillId="0" borderId="0" xfId="1" applyNumberFormat="1" applyFont="1"/>
    <xf numFmtId="164" fontId="0" fillId="0" borderId="0" xfId="0" applyNumberFormat="1"/>
    <xf numFmtId="3" fontId="0" fillId="0" borderId="0" xfId="0" applyNumberFormat="1"/>
    <xf numFmtId="0" fontId="0" fillId="4" borderId="88" xfId="0" applyFill="1" applyBorder="1"/>
    <xf numFmtId="165" fontId="0" fillId="0" borderId="0" xfId="1" applyNumberFormat="1" applyFont="1"/>
    <xf numFmtId="5" fontId="0" fillId="0" borderId="0" xfId="0" applyNumberFormat="1"/>
    <xf numFmtId="0" fontId="7" fillId="8" borderId="89" xfId="0" applyFont="1" applyFill="1" applyBorder="1" applyAlignment="1">
      <alignment wrapText="1"/>
    </xf>
    <xf numFmtId="0" fontId="4" fillId="2" borderId="0" xfId="0" applyFont="1" applyFill="1" applyBorder="1" applyAlignment="1">
      <alignment horizontal="center" vertical="center" wrapText="1"/>
    </xf>
    <xf numFmtId="0" fontId="4" fillId="2" borderId="6" xfId="0" applyFont="1" applyFill="1" applyBorder="1" applyAlignment="1">
      <alignment horizontal="center"/>
    </xf>
    <xf numFmtId="0" fontId="2" fillId="8" borderId="0" xfId="0" applyFont="1" applyFill="1" applyBorder="1" applyAlignment="1">
      <alignment horizontal="center"/>
    </xf>
    <xf numFmtId="0" fontId="10" fillId="4" borderId="0" xfId="0" applyFont="1" applyFill="1" applyAlignment="1"/>
    <xf numFmtId="44" fontId="0" fillId="0" borderId="0" xfId="1" applyFont="1"/>
    <xf numFmtId="0" fontId="25" fillId="4" borderId="0" xfId="0" applyFont="1" applyFill="1"/>
    <xf numFmtId="0" fontId="1" fillId="0" borderId="0" xfId="0" applyFont="1"/>
    <xf numFmtId="0" fontId="1" fillId="0" borderId="0" xfId="0" applyFont="1" applyAlignment="1">
      <alignment horizontal="center"/>
    </xf>
    <xf numFmtId="0" fontId="3" fillId="11" borderId="0" xfId="0" applyFont="1" applyFill="1" applyAlignment="1">
      <alignment horizontal="center" vertical="center"/>
    </xf>
    <xf numFmtId="0" fontId="29" fillId="4" borderId="0" xfId="0" applyFont="1" applyFill="1" applyAlignment="1"/>
    <xf numFmtId="1" fontId="8" fillId="8" borderId="70" xfId="0" applyNumberFormat="1" applyFont="1" applyFill="1" applyBorder="1" applyAlignment="1">
      <alignment horizontal="center"/>
    </xf>
    <xf numFmtId="167" fontId="0" fillId="0" borderId="0" xfId="3" applyNumberFormat="1" applyFont="1" applyAlignment="1"/>
    <xf numFmtId="1" fontId="0" fillId="0" borderId="0" xfId="0" applyNumberFormat="1" applyAlignment="1">
      <alignment horizontal="right"/>
    </xf>
    <xf numFmtId="167" fontId="0" fillId="0" borderId="0" xfId="3" applyNumberFormat="1" applyFont="1" applyAlignment="1">
      <alignment horizontal="right"/>
    </xf>
    <xf numFmtId="0" fontId="4" fillId="2" borderId="0" xfId="0" applyFont="1" applyFill="1" applyBorder="1" applyAlignment="1">
      <alignment horizontal="center" vertical="center"/>
    </xf>
    <xf numFmtId="1" fontId="14" fillId="6" borderId="52" xfId="0" applyNumberFormat="1" applyFont="1" applyFill="1" applyBorder="1" applyAlignment="1">
      <alignment horizontal="center" vertical="center" wrapText="1"/>
    </xf>
    <xf numFmtId="1" fontId="14" fillId="6" borderId="51" xfId="0" applyNumberFormat="1" applyFont="1" applyFill="1" applyBorder="1" applyAlignment="1">
      <alignment horizontal="center" vertical="center" wrapText="1"/>
    </xf>
    <xf numFmtId="1" fontId="14" fillId="6" borderId="53" xfId="0" applyNumberFormat="1" applyFont="1" applyFill="1" applyBorder="1" applyAlignment="1">
      <alignment horizontal="center" vertical="center" wrapText="1"/>
    </xf>
    <xf numFmtId="1" fontId="8" fillId="4" borderId="0" xfId="0" applyNumberFormat="1" applyFont="1" applyFill="1" applyAlignment="1">
      <alignment horizontal="center"/>
    </xf>
    <xf numFmtId="0" fontId="7" fillId="8" borderId="39" xfId="0" applyFont="1" applyFill="1" applyBorder="1" applyAlignment="1">
      <alignment vertical="center" wrapText="1"/>
    </xf>
    <xf numFmtId="0" fontId="14" fillId="8" borderId="0" xfId="0" applyFont="1" applyFill="1" applyBorder="1" applyAlignment="1">
      <alignment horizontal="center" vertical="center" wrapText="1"/>
    </xf>
    <xf numFmtId="0" fontId="7" fillId="8" borderId="90" xfId="0" applyFont="1" applyFill="1" applyBorder="1" applyAlignment="1">
      <alignment vertical="center" wrapText="1"/>
    </xf>
    <xf numFmtId="0" fontId="14" fillId="8" borderId="91" xfId="0" applyFont="1" applyFill="1" applyBorder="1" applyAlignment="1">
      <alignment horizontal="center" vertical="center" wrapText="1"/>
    </xf>
    <xf numFmtId="1" fontId="14" fillId="6" borderId="15" xfId="0" applyNumberFormat="1" applyFont="1" applyFill="1" applyBorder="1" applyAlignment="1">
      <alignment horizontal="center" vertical="center" wrapText="1"/>
    </xf>
    <xf numFmtId="0" fontId="7" fillId="8" borderId="31" xfId="0" applyFont="1" applyFill="1" applyBorder="1" applyAlignment="1">
      <alignment vertical="center" wrapText="1"/>
    </xf>
    <xf numFmtId="0" fontId="14" fillId="8" borderId="33" xfId="0" applyFont="1" applyFill="1" applyBorder="1" applyAlignment="1">
      <alignment horizontal="center" vertical="center" wrapText="1"/>
    </xf>
    <xf numFmtId="0" fontId="14" fillId="8" borderId="38" xfId="0" applyFont="1" applyFill="1" applyBorder="1" applyAlignment="1">
      <alignment horizontal="center" vertical="center" wrapText="1"/>
    </xf>
    <xf numFmtId="9" fontId="14" fillId="13" borderId="52" xfId="0" applyNumberFormat="1" applyFont="1" applyFill="1" applyBorder="1" applyAlignment="1">
      <alignment horizontal="center" vertical="center" wrapText="1"/>
    </xf>
    <xf numFmtId="5" fontId="8" fillId="8" borderId="13" xfId="1" applyNumberFormat="1" applyFont="1" applyFill="1" applyBorder="1" applyAlignment="1">
      <alignment horizontal="center" vertical="center"/>
    </xf>
    <xf numFmtId="5" fontId="2" fillId="4" borderId="0" xfId="0" applyNumberFormat="1" applyFont="1" applyFill="1" applyAlignment="1">
      <alignment horizontal="center"/>
    </xf>
    <xf numFmtId="5" fontId="8" fillId="8" borderId="81" xfId="1" applyNumberFormat="1" applyFont="1" applyFill="1" applyBorder="1" applyAlignment="1">
      <alignment horizontal="center" vertical="center"/>
    </xf>
    <xf numFmtId="5" fontId="8" fillId="8" borderId="92" xfId="1" applyNumberFormat="1" applyFont="1" applyFill="1" applyBorder="1" applyAlignment="1">
      <alignment horizontal="center" vertical="center"/>
    </xf>
    <xf numFmtId="5" fontId="2" fillId="4" borderId="58" xfId="0" applyNumberFormat="1" applyFont="1" applyFill="1" applyBorder="1" applyAlignment="1">
      <alignment horizontal="center"/>
    </xf>
    <xf numFmtId="9" fontId="2" fillId="8" borderId="71" xfId="2" applyFont="1" applyFill="1" applyBorder="1" applyAlignment="1">
      <alignment horizontal="center"/>
    </xf>
    <xf numFmtId="9" fontId="5" fillId="4" borderId="0" xfId="0" applyNumberFormat="1" applyFont="1" applyFill="1" applyBorder="1" applyAlignment="1">
      <alignment horizontal="center" vertical="center" wrapText="1"/>
    </xf>
    <xf numFmtId="164" fontId="5" fillId="4" borderId="0" xfId="0" applyNumberFormat="1" applyFont="1" applyFill="1" applyBorder="1" applyAlignment="1">
      <alignment horizontal="center" vertical="center"/>
    </xf>
    <xf numFmtId="0" fontId="7" fillId="4" borderId="0" xfId="0" applyFont="1" applyFill="1" applyBorder="1" applyAlignment="1">
      <alignment vertical="center" wrapText="1"/>
    </xf>
    <xf numFmtId="0" fontId="14" fillId="4" borderId="0" xfId="0" applyFont="1" applyFill="1" applyBorder="1" applyAlignment="1">
      <alignment horizontal="center" vertical="center" wrapText="1"/>
    </xf>
    <xf numFmtId="1" fontId="5" fillId="4" borderId="0" xfId="0" applyNumberFormat="1" applyFont="1" applyFill="1" applyBorder="1" applyAlignment="1">
      <alignment vertical="center" wrapText="1"/>
    </xf>
    <xf numFmtId="1" fontId="5" fillId="4" borderId="0" xfId="0" applyNumberFormat="1" applyFont="1" applyFill="1" applyBorder="1" applyAlignment="1">
      <alignment horizontal="center" vertical="center" wrapText="1"/>
    </xf>
    <xf numFmtId="0" fontId="2" fillId="4" borderId="0" xfId="0" applyFont="1" applyFill="1" applyBorder="1" applyAlignment="1">
      <alignment vertical="center" wrapText="1"/>
    </xf>
    <xf numFmtId="9" fontId="2" fillId="4" borderId="0" xfId="0" applyNumberFormat="1" applyFont="1" applyFill="1" applyBorder="1" applyAlignment="1">
      <alignment horizontal="center" vertical="center" wrapText="1"/>
    </xf>
    <xf numFmtId="164" fontId="2" fillId="4" borderId="0" xfId="0" applyNumberFormat="1" applyFont="1" applyFill="1" applyBorder="1" applyAlignment="1">
      <alignment horizontal="center" vertical="center"/>
    </xf>
    <xf numFmtId="0" fontId="2" fillId="4" borderId="0" xfId="0" applyFont="1" applyFill="1" applyBorder="1" applyAlignment="1">
      <alignment horizontal="center" vertical="center" wrapText="1"/>
    </xf>
    <xf numFmtId="1" fontId="14" fillId="6" borderId="16" xfId="0" applyNumberFormat="1" applyFont="1" applyFill="1" applyBorder="1" applyAlignment="1">
      <alignment horizontal="center" vertical="center" wrapText="1"/>
    </xf>
    <xf numFmtId="165" fontId="2" fillId="4" borderId="58" xfId="0" applyNumberFormat="1" applyFont="1" applyFill="1" applyBorder="1" applyAlignment="1">
      <alignment horizontal="center" vertical="center" wrapText="1"/>
    </xf>
    <xf numFmtId="9" fontId="14" fillId="6" borderId="93" xfId="0" applyNumberFormat="1" applyFont="1" applyFill="1" applyBorder="1" applyAlignment="1">
      <alignment horizontal="center" vertical="center" wrapText="1"/>
    </xf>
    <xf numFmtId="1" fontId="14" fillId="6" borderId="33" xfId="0" applyNumberFormat="1" applyFont="1" applyFill="1" applyBorder="1" applyAlignment="1">
      <alignment horizontal="center" vertical="center" wrapText="1"/>
    </xf>
    <xf numFmtId="0" fontId="7" fillId="8" borderId="18" xfId="0" applyFont="1" applyFill="1" applyBorder="1" applyAlignment="1">
      <alignment vertical="center" wrapText="1"/>
    </xf>
    <xf numFmtId="9" fontId="14" fillId="6" borderId="13" xfId="0" applyNumberFormat="1" applyFont="1" applyFill="1" applyBorder="1" applyAlignment="1">
      <alignment horizontal="center" vertical="center" wrapText="1"/>
    </xf>
    <xf numFmtId="9" fontId="5" fillId="4" borderId="58" xfId="0" applyNumberFormat="1" applyFont="1" applyFill="1" applyBorder="1" applyAlignment="1">
      <alignment horizontal="center"/>
    </xf>
    <xf numFmtId="1" fontId="0" fillId="6" borderId="55" xfId="2" applyNumberFormat="1" applyFont="1" applyFill="1" applyBorder="1" applyAlignment="1">
      <alignment horizontal="center"/>
    </xf>
    <xf numFmtId="1" fontId="0" fillId="6" borderId="75" xfId="2" applyNumberFormat="1" applyFont="1" applyFill="1" applyBorder="1" applyAlignment="1">
      <alignment horizontal="center"/>
    </xf>
    <xf numFmtId="0" fontId="4" fillId="2" borderId="1" xfId="0" applyFont="1" applyFill="1" applyBorder="1" applyAlignment="1">
      <alignment horizontal="center" vertical="center" wrapText="1"/>
    </xf>
    <xf numFmtId="0" fontId="0" fillId="8" borderId="54" xfId="0" applyFill="1" applyBorder="1"/>
    <xf numFmtId="0" fontId="0" fillId="0" borderId="96" xfId="0" applyBorder="1"/>
    <xf numFmtId="1" fontId="0" fillId="0" borderId="96" xfId="0" applyNumberFormat="1" applyBorder="1"/>
    <xf numFmtId="1" fontId="0" fillId="0" borderId="96" xfId="0" applyNumberFormat="1" applyBorder="1" applyAlignment="1">
      <alignment horizontal="center"/>
    </xf>
    <xf numFmtId="0" fontId="10" fillId="4" borderId="25" xfId="0" applyFont="1" applyFill="1" applyBorder="1" applyAlignment="1">
      <alignment wrapText="1"/>
    </xf>
    <xf numFmtId="1" fontId="14" fillId="6" borderId="32" xfId="0" applyNumberFormat="1" applyFont="1" applyFill="1" applyBorder="1" applyAlignment="1">
      <alignment horizontal="center" vertical="center" wrapText="1"/>
    </xf>
    <xf numFmtId="1" fontId="14" fillId="6" borderId="48" xfId="0" applyNumberFormat="1" applyFont="1" applyFill="1" applyBorder="1" applyAlignment="1">
      <alignment horizontal="center" vertical="center" wrapText="1"/>
    </xf>
    <xf numFmtId="37" fontId="7" fillId="8" borderId="83" xfId="3" applyNumberFormat="1" applyFont="1" applyFill="1" applyBorder="1" applyAlignment="1">
      <alignment horizontal="center"/>
    </xf>
    <xf numFmtId="37" fontId="7" fillId="8" borderId="112" xfId="3" applyNumberFormat="1" applyFont="1" applyFill="1" applyBorder="1" applyAlignment="1">
      <alignment horizontal="center"/>
    </xf>
    <xf numFmtId="37" fontId="7" fillId="8" borderId="113" xfId="3" applyNumberFormat="1" applyFont="1" applyFill="1" applyBorder="1" applyAlignment="1">
      <alignment horizontal="center"/>
    </xf>
    <xf numFmtId="0" fontId="7" fillId="8" borderId="115" xfId="0" applyFont="1" applyFill="1" applyBorder="1"/>
    <xf numFmtId="0" fontId="7" fillId="8" borderId="115" xfId="0" applyFont="1" applyFill="1" applyBorder="1" applyAlignment="1">
      <alignment wrapText="1"/>
    </xf>
    <xf numFmtId="0" fontId="7" fillId="8" borderId="114" xfId="0" applyFont="1" applyFill="1" applyBorder="1"/>
    <xf numFmtId="37" fontId="7" fillId="8" borderId="116" xfId="3" applyNumberFormat="1" applyFont="1" applyFill="1" applyBorder="1" applyAlignment="1">
      <alignment horizontal="center"/>
    </xf>
    <xf numFmtId="1" fontId="0" fillId="4" borderId="0" xfId="0" applyNumberFormat="1" applyFill="1" applyBorder="1"/>
    <xf numFmtId="3" fontId="7" fillId="8" borderId="85" xfId="0" applyNumberFormat="1" applyFont="1" applyFill="1" applyBorder="1" applyAlignment="1">
      <alignment horizontal="center"/>
    </xf>
    <xf numFmtId="0" fontId="4" fillId="2" borderId="0" xfId="0" applyFont="1" applyFill="1" applyBorder="1" applyAlignment="1">
      <alignment horizontal="center"/>
    </xf>
    <xf numFmtId="0" fontId="0" fillId="0" borderId="0" xfId="0" applyAlignment="1">
      <alignment horizontal="center"/>
    </xf>
    <xf numFmtId="9" fontId="2" fillId="4" borderId="117" xfId="0" applyNumberFormat="1" applyFont="1" applyFill="1" applyBorder="1" applyAlignment="1">
      <alignment horizontal="center"/>
    </xf>
    <xf numFmtId="0" fontId="10" fillId="4" borderId="25" xfId="0" applyFont="1" applyFill="1" applyBorder="1" applyAlignment="1"/>
    <xf numFmtId="0" fontId="8" fillId="7" borderId="118" xfId="0" applyFont="1" applyFill="1" applyBorder="1" applyAlignment="1">
      <alignment horizontal="center" vertical="center" wrapText="1"/>
    </xf>
    <xf numFmtId="3" fontId="7" fillId="8" borderId="119" xfId="3" applyNumberFormat="1" applyFont="1" applyFill="1" applyBorder="1" applyAlignment="1">
      <alignment horizontal="center"/>
    </xf>
    <xf numFmtId="37" fontId="7" fillId="8" borderId="45" xfId="3" applyNumberFormat="1" applyFont="1" applyFill="1" applyBorder="1" applyAlignment="1">
      <alignment horizontal="center"/>
    </xf>
    <xf numFmtId="37" fontId="7" fillId="8" borderId="42" xfId="3" applyNumberFormat="1" applyFont="1" applyFill="1" applyBorder="1" applyAlignment="1">
      <alignment horizontal="center"/>
    </xf>
    <xf numFmtId="37" fontId="7" fillId="8" borderId="41" xfId="3" applyNumberFormat="1" applyFont="1" applyFill="1" applyBorder="1" applyAlignment="1">
      <alignment horizontal="center"/>
    </xf>
    <xf numFmtId="37" fontId="7" fillId="8" borderId="120" xfId="3" applyNumberFormat="1" applyFont="1" applyFill="1" applyBorder="1" applyAlignment="1">
      <alignment horizontal="center"/>
    </xf>
    <xf numFmtId="0" fontId="8" fillId="7" borderId="86" xfId="0" applyFont="1" applyFill="1" applyBorder="1" applyAlignment="1">
      <alignment horizontal="center" vertical="center" wrapText="1"/>
    </xf>
    <xf numFmtId="0" fontId="8" fillId="7" borderId="121" xfId="0" applyFont="1" applyFill="1" applyBorder="1" applyAlignment="1">
      <alignment horizontal="center" vertical="center" wrapText="1"/>
    </xf>
    <xf numFmtId="1" fontId="8" fillId="7" borderId="122" xfId="0" applyNumberFormat="1" applyFont="1" applyFill="1" applyBorder="1" applyAlignment="1">
      <alignment horizontal="center" vertical="center" wrapText="1"/>
    </xf>
    <xf numFmtId="3" fontId="7" fillId="8" borderId="119" xfId="0" applyNumberFormat="1" applyFont="1" applyFill="1" applyBorder="1" applyAlignment="1">
      <alignment horizontal="center"/>
    </xf>
    <xf numFmtId="0" fontId="8" fillId="7" borderId="125" xfId="0" applyFont="1" applyFill="1" applyBorder="1" applyAlignment="1">
      <alignment horizontal="center" vertical="center" wrapText="1"/>
    </xf>
    <xf numFmtId="0" fontId="8" fillId="7" borderId="123" xfId="0" applyFont="1" applyFill="1" applyBorder="1" applyAlignment="1">
      <alignment horizontal="center" vertical="center" wrapText="1"/>
    </xf>
    <xf numFmtId="6" fontId="0" fillId="4" borderId="0" xfId="0" applyNumberFormat="1" applyFill="1"/>
    <xf numFmtId="3" fontId="0" fillId="4" borderId="0" xfId="0" applyNumberFormat="1" applyFill="1"/>
    <xf numFmtId="0" fontId="4" fillId="2" borderId="0" xfId="0" applyFont="1" applyFill="1" applyBorder="1" applyAlignment="1">
      <alignment horizontal="center"/>
    </xf>
    <xf numFmtId="9" fontId="2" fillId="6" borderId="0" xfId="2" applyFont="1" applyFill="1" applyBorder="1" applyAlignment="1">
      <alignment horizontal="center"/>
    </xf>
    <xf numFmtId="9" fontId="2" fillId="4" borderId="88" xfId="0" applyNumberFormat="1" applyFont="1" applyFill="1" applyBorder="1" applyAlignment="1">
      <alignment horizontal="center" vertical="center" wrapText="1"/>
    </xf>
    <xf numFmtId="0" fontId="0" fillId="4" borderId="127" xfId="0" applyFill="1" applyBorder="1"/>
    <xf numFmtId="165" fontId="2" fillId="4" borderId="88" xfId="0" applyNumberFormat="1" applyFont="1" applyFill="1" applyBorder="1" applyAlignment="1">
      <alignment horizontal="center" vertical="center" wrapText="1"/>
    </xf>
    <xf numFmtId="9" fontId="5" fillId="6" borderId="20" xfId="0" applyNumberFormat="1" applyFont="1" applyFill="1" applyBorder="1" applyAlignment="1">
      <alignment horizontal="center" vertical="center"/>
    </xf>
    <xf numFmtId="9" fontId="5" fillId="4" borderId="88" xfId="0" applyNumberFormat="1" applyFont="1" applyFill="1" applyBorder="1" applyAlignment="1">
      <alignment horizontal="center" vertical="center"/>
    </xf>
    <xf numFmtId="1" fontId="7" fillId="8" borderId="128" xfId="0" applyNumberFormat="1" applyFont="1" applyFill="1" applyBorder="1" applyAlignment="1">
      <alignment horizontal="center"/>
    </xf>
    <xf numFmtId="1" fontId="0" fillId="6" borderId="130" xfId="0" applyNumberFormat="1" applyFont="1" applyFill="1" applyBorder="1" applyAlignment="1">
      <alignment horizontal="center"/>
    </xf>
    <xf numFmtId="1" fontId="0" fillId="0" borderId="130" xfId="0" applyNumberFormat="1" applyBorder="1"/>
    <xf numFmtId="2" fontId="0" fillId="6" borderId="130" xfId="0" applyNumberFormat="1" applyFont="1" applyFill="1" applyBorder="1" applyAlignment="1">
      <alignment horizontal="center"/>
    </xf>
    <xf numFmtId="169" fontId="0" fillId="6" borderId="130" xfId="0" applyNumberFormat="1" applyFont="1" applyFill="1" applyBorder="1" applyAlignment="1">
      <alignment horizontal="center"/>
    </xf>
    <xf numFmtId="170" fontId="0" fillId="4" borderId="0" xfId="0" applyNumberFormat="1" applyFill="1"/>
    <xf numFmtId="37" fontId="7" fillId="8" borderId="111" xfId="3" applyNumberFormat="1" applyFont="1" applyFill="1" applyBorder="1" applyAlignment="1">
      <alignment horizontal="center"/>
    </xf>
    <xf numFmtId="0" fontId="7" fillId="8" borderId="89" xfId="0" applyFont="1" applyFill="1" applyBorder="1"/>
    <xf numFmtId="1" fontId="0" fillId="4" borderId="88" xfId="0" applyNumberFormat="1" applyFill="1" applyBorder="1"/>
    <xf numFmtId="0" fontId="4" fillId="2" borderId="0" xfId="0" applyFont="1" applyFill="1" applyBorder="1" applyAlignment="1">
      <alignment horizontal="center"/>
    </xf>
    <xf numFmtId="0" fontId="8" fillId="7" borderId="139" xfId="0" applyFont="1" applyFill="1" applyBorder="1" applyAlignment="1">
      <alignment horizontal="center" vertical="center" wrapText="1"/>
    </xf>
    <xf numFmtId="6" fontId="7" fillId="8" borderId="84" xfId="0" applyNumberFormat="1" applyFont="1" applyFill="1" applyBorder="1" applyAlignment="1">
      <alignment horizontal="center"/>
    </xf>
    <xf numFmtId="0" fontId="8" fillId="7" borderId="140" xfId="0" applyFont="1" applyFill="1" applyBorder="1" applyAlignment="1">
      <alignment horizontal="center" vertical="center" wrapText="1"/>
    </xf>
    <xf numFmtId="6" fontId="15" fillId="8" borderId="141" xfId="0" applyNumberFormat="1" applyFont="1" applyFill="1" applyBorder="1" applyAlignment="1">
      <alignment horizontal="center"/>
    </xf>
    <xf numFmtId="6" fontId="7" fillId="8" borderId="141" xfId="0" applyNumberFormat="1" applyFont="1" applyFill="1" applyBorder="1" applyAlignment="1">
      <alignment horizontal="center"/>
    </xf>
    <xf numFmtId="6" fontId="7" fillId="8" borderId="142" xfId="0" applyNumberFormat="1" applyFont="1" applyFill="1" applyBorder="1" applyAlignment="1">
      <alignment horizontal="center"/>
    </xf>
    <xf numFmtId="0" fontId="8" fillId="7" borderId="144" xfId="0" applyFont="1" applyFill="1" applyBorder="1" applyAlignment="1">
      <alignment horizontal="center" vertical="center" wrapText="1"/>
    </xf>
    <xf numFmtId="6" fontId="7" fillId="8" borderId="143" xfId="0" applyNumberFormat="1" applyFont="1" applyFill="1" applyBorder="1" applyAlignment="1">
      <alignment horizontal="center"/>
    </xf>
    <xf numFmtId="6" fontId="7" fillId="8" borderId="145" xfId="0" applyNumberFormat="1" applyFont="1" applyFill="1" applyBorder="1" applyAlignment="1">
      <alignment horizontal="center"/>
    </xf>
    <xf numFmtId="6" fontId="7" fillId="8" borderId="146" xfId="0" applyNumberFormat="1" applyFont="1" applyFill="1" applyBorder="1" applyAlignment="1">
      <alignment horizontal="center"/>
    </xf>
    <xf numFmtId="9" fontId="2" fillId="4" borderId="0" xfId="2" applyFont="1" applyFill="1" applyBorder="1" applyAlignment="1"/>
    <xf numFmtId="3" fontId="7" fillId="8" borderId="147" xfId="0" applyNumberFormat="1" applyFont="1" applyFill="1" applyBorder="1" applyAlignment="1">
      <alignment horizontal="center"/>
    </xf>
    <xf numFmtId="0" fontId="8" fillId="7" borderId="149" xfId="0" applyFont="1" applyFill="1" applyBorder="1" applyAlignment="1">
      <alignment horizontal="center" vertical="center" wrapText="1"/>
    </xf>
    <xf numFmtId="3" fontId="7" fillId="8" borderId="150" xfId="0" applyNumberFormat="1" applyFont="1" applyFill="1" applyBorder="1" applyAlignment="1">
      <alignment horizontal="center"/>
    </xf>
    <xf numFmtId="3" fontId="7" fillId="8" borderId="151" xfId="0" applyNumberFormat="1" applyFont="1" applyFill="1" applyBorder="1" applyAlignment="1">
      <alignment horizontal="center"/>
    </xf>
    <xf numFmtId="3" fontId="7" fillId="8" borderId="148" xfId="0" applyNumberFormat="1" applyFont="1" applyFill="1" applyBorder="1" applyAlignment="1">
      <alignment horizontal="center"/>
    </xf>
    <xf numFmtId="3" fontId="7" fillId="8" borderId="85" xfId="3" applyNumberFormat="1" applyFont="1" applyFill="1" applyBorder="1" applyAlignment="1">
      <alignment horizontal="center"/>
    </xf>
    <xf numFmtId="3" fontId="7" fillId="8" borderId="152" xfId="3" applyNumberFormat="1" applyFont="1" applyFill="1" applyBorder="1" applyAlignment="1">
      <alignment horizontal="center"/>
    </xf>
    <xf numFmtId="3" fontId="7" fillId="8" borderId="83" xfId="3" applyNumberFormat="1" applyFont="1" applyFill="1" applyBorder="1" applyAlignment="1">
      <alignment horizontal="center"/>
    </xf>
    <xf numFmtId="3" fontId="7" fillId="8" borderId="111" xfId="3" applyNumberFormat="1" applyFont="1" applyFill="1" applyBorder="1" applyAlignment="1">
      <alignment horizontal="center"/>
    </xf>
    <xf numFmtId="3" fontId="7" fillId="8" borderId="153" xfId="3" applyNumberFormat="1" applyFont="1" applyFill="1" applyBorder="1" applyAlignment="1">
      <alignment horizontal="center"/>
    </xf>
    <xf numFmtId="0" fontId="8" fillId="7" borderId="154" xfId="0" applyFont="1" applyFill="1" applyBorder="1" applyAlignment="1">
      <alignment horizontal="center" vertical="center" wrapText="1"/>
    </xf>
    <xf numFmtId="3" fontId="7" fillId="8" borderId="155" xfId="0" applyNumberFormat="1" applyFont="1" applyFill="1" applyBorder="1" applyAlignment="1">
      <alignment horizontal="center"/>
    </xf>
    <xf numFmtId="3" fontId="7" fillId="8" borderId="156" xfId="0" applyNumberFormat="1" applyFont="1" applyFill="1" applyBorder="1" applyAlignment="1">
      <alignment horizontal="center"/>
    </xf>
    <xf numFmtId="3" fontId="7" fillId="8" borderId="157" xfId="0" applyNumberFormat="1" applyFont="1" applyFill="1" applyBorder="1" applyAlignment="1">
      <alignment horizontal="center"/>
    </xf>
    <xf numFmtId="3" fontId="7" fillId="8" borderId="158" xfId="0" applyNumberFormat="1" applyFont="1" applyFill="1" applyBorder="1" applyAlignment="1">
      <alignment horizontal="center"/>
    </xf>
    <xf numFmtId="0" fontId="3" fillId="11" borderId="0" xfId="0" applyFont="1" applyFill="1" applyAlignment="1">
      <alignment horizontal="center" vertical="center"/>
    </xf>
    <xf numFmtId="0" fontId="34" fillId="2" borderId="0" xfId="0" applyFont="1" applyFill="1" applyBorder="1" applyAlignment="1"/>
    <xf numFmtId="3" fontId="7" fillId="8" borderId="159" xfId="0" applyNumberFormat="1" applyFont="1" applyFill="1" applyBorder="1" applyAlignment="1">
      <alignment horizontal="center"/>
    </xf>
    <xf numFmtId="1" fontId="8" fillId="7" borderId="160" xfId="0" applyNumberFormat="1" applyFont="1" applyFill="1" applyBorder="1" applyAlignment="1">
      <alignment horizontal="center" vertical="center" wrapText="1"/>
    </xf>
    <xf numFmtId="37" fontId="7" fillId="8" borderId="161" xfId="3" applyNumberFormat="1" applyFont="1" applyFill="1" applyBorder="1" applyAlignment="1">
      <alignment horizontal="center"/>
    </xf>
    <xf numFmtId="37" fontId="7" fillId="8" borderId="162" xfId="3" applyNumberFormat="1" applyFont="1" applyFill="1" applyBorder="1" applyAlignment="1">
      <alignment horizontal="center"/>
    </xf>
    <xf numFmtId="3" fontId="7" fillId="8" borderId="163" xfId="0" applyNumberFormat="1" applyFont="1" applyFill="1" applyBorder="1" applyAlignment="1">
      <alignment horizontal="center"/>
    </xf>
    <xf numFmtId="37" fontId="7" fillId="8" borderId="164" xfId="3" applyNumberFormat="1" applyFont="1" applyFill="1" applyBorder="1" applyAlignment="1">
      <alignment horizontal="center"/>
    </xf>
    <xf numFmtId="0" fontId="8" fillId="7" borderId="165" xfId="0" applyFont="1" applyFill="1" applyBorder="1" applyAlignment="1">
      <alignment horizontal="center" vertical="center" wrapText="1"/>
    </xf>
    <xf numFmtId="3" fontId="7" fillId="8" borderId="166" xfId="0" applyNumberFormat="1" applyFont="1" applyFill="1" applyBorder="1" applyAlignment="1">
      <alignment horizontal="center"/>
    </xf>
    <xf numFmtId="3" fontId="7" fillId="8" borderId="167" xfId="0" applyNumberFormat="1" applyFont="1" applyFill="1" applyBorder="1" applyAlignment="1">
      <alignment horizontal="center"/>
    </xf>
    <xf numFmtId="3" fontId="7" fillId="8" borderId="168" xfId="0" applyNumberFormat="1" applyFont="1" applyFill="1" applyBorder="1" applyAlignment="1">
      <alignment horizontal="center"/>
    </xf>
    <xf numFmtId="3" fontId="7" fillId="8" borderId="143" xfId="0" applyNumberFormat="1" applyFont="1" applyFill="1" applyBorder="1" applyAlignment="1">
      <alignment horizontal="center"/>
    </xf>
    <xf numFmtId="3" fontId="7" fillId="8" borderId="145" xfId="0" applyNumberFormat="1" applyFont="1" applyFill="1" applyBorder="1" applyAlignment="1">
      <alignment horizontal="center"/>
    </xf>
    <xf numFmtId="3" fontId="7" fillId="8" borderId="169" xfId="0" applyNumberFormat="1" applyFont="1" applyFill="1" applyBorder="1" applyAlignment="1">
      <alignment horizontal="center"/>
    </xf>
    <xf numFmtId="3" fontId="7" fillId="8" borderId="170" xfId="0" applyNumberFormat="1" applyFont="1" applyFill="1" applyBorder="1" applyAlignment="1">
      <alignment horizontal="center"/>
    </xf>
    <xf numFmtId="1" fontId="9" fillId="4" borderId="171" xfId="0" applyNumberFormat="1" applyFont="1" applyFill="1" applyBorder="1"/>
    <xf numFmtId="0" fontId="7" fillId="8" borderId="172" xfId="0" applyFont="1" applyFill="1" applyBorder="1" applyAlignment="1">
      <alignment wrapText="1"/>
    </xf>
    <xf numFmtId="0" fontId="8" fillId="7" borderId="179"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6" xfId="0" applyFont="1" applyFill="1" applyBorder="1" applyAlignment="1">
      <alignment horizontal="center"/>
    </xf>
    <xf numFmtId="0" fontId="4" fillId="2" borderId="46" xfId="0" applyFont="1" applyFill="1" applyBorder="1" applyAlignment="1">
      <alignment horizontal="center"/>
    </xf>
    <xf numFmtId="171" fontId="0" fillId="0" borderId="0" xfId="0" applyNumberFormat="1"/>
    <xf numFmtId="6" fontId="33" fillId="8" borderId="182" xfId="0" applyNumberFormat="1" applyFont="1" applyFill="1" applyBorder="1" applyAlignment="1">
      <alignment horizontal="center"/>
    </xf>
    <xf numFmtId="6" fontId="33" fillId="8" borderId="0" xfId="0" applyNumberFormat="1" applyFont="1" applyFill="1" applyAlignment="1">
      <alignment horizontal="center"/>
    </xf>
    <xf numFmtId="6" fontId="33" fillId="8" borderId="134" xfId="0" applyNumberFormat="1" applyFont="1" applyFill="1" applyBorder="1" applyAlignment="1">
      <alignment horizontal="center"/>
    </xf>
    <xf numFmtId="6" fontId="33" fillId="8" borderId="85" xfId="0" applyNumberFormat="1" applyFont="1" applyFill="1" applyBorder="1" applyAlignment="1">
      <alignment horizontal="center"/>
    </xf>
    <xf numFmtId="6" fontId="33" fillId="8" borderId="181" xfId="0" applyNumberFormat="1" applyFont="1" applyFill="1" applyBorder="1" applyAlignment="1">
      <alignment horizontal="center"/>
    </xf>
    <xf numFmtId="6" fontId="33" fillId="8" borderId="132" xfId="0" applyNumberFormat="1" applyFont="1" applyFill="1" applyBorder="1" applyAlignment="1">
      <alignment horizontal="center"/>
    </xf>
    <xf numFmtId="6" fontId="33" fillId="8" borderId="142" xfId="0" applyNumberFormat="1" applyFont="1" applyFill="1" applyBorder="1" applyAlignment="1">
      <alignment horizontal="center"/>
    </xf>
    <xf numFmtId="6" fontId="33" fillId="8" borderId="152" xfId="0" applyNumberFormat="1" applyFont="1" applyFill="1" applyBorder="1" applyAlignment="1">
      <alignment horizontal="center"/>
    </xf>
    <xf numFmtId="6" fontId="33" fillId="8" borderId="135" xfId="0" applyNumberFormat="1" applyFont="1" applyFill="1" applyBorder="1" applyAlignment="1">
      <alignment horizontal="center"/>
    </xf>
    <xf numFmtId="6" fontId="33" fillId="8" borderId="133" xfId="0" applyNumberFormat="1" applyFont="1" applyFill="1" applyBorder="1" applyAlignment="1">
      <alignment horizontal="center"/>
    </xf>
    <xf numFmtId="6" fontId="33" fillId="8" borderId="131" xfId="0" applyNumberFormat="1" applyFont="1" applyFill="1" applyBorder="1" applyAlignment="1">
      <alignment horizontal="center"/>
    </xf>
    <xf numFmtId="6" fontId="33" fillId="8" borderId="175" xfId="0" applyNumberFormat="1" applyFont="1" applyFill="1" applyBorder="1" applyAlignment="1">
      <alignment horizontal="center"/>
    </xf>
    <xf numFmtId="6" fontId="35" fillId="8" borderId="132" xfId="0" applyNumberFormat="1" applyFont="1" applyFill="1" applyBorder="1" applyAlignment="1">
      <alignment horizontal="center"/>
    </xf>
    <xf numFmtId="6" fontId="33" fillId="8" borderId="136" xfId="0" applyNumberFormat="1" applyFont="1" applyFill="1" applyBorder="1" applyAlignment="1">
      <alignment horizontal="center"/>
    </xf>
    <xf numFmtId="6" fontId="33" fillId="8" borderId="137" xfId="0" applyNumberFormat="1" applyFont="1" applyFill="1" applyBorder="1" applyAlignment="1">
      <alignment horizontal="center"/>
    </xf>
    <xf numFmtId="6" fontId="33" fillId="8" borderId="176" xfId="0" applyNumberFormat="1" applyFont="1" applyFill="1" applyBorder="1" applyAlignment="1">
      <alignment horizontal="center"/>
    </xf>
    <xf numFmtId="6" fontId="33" fillId="8" borderId="174" xfId="0" applyNumberFormat="1" applyFont="1" applyFill="1" applyBorder="1" applyAlignment="1">
      <alignment horizontal="center"/>
    </xf>
    <xf numFmtId="6" fontId="33" fillId="8" borderId="180" xfId="0" applyNumberFormat="1" applyFont="1" applyFill="1" applyBorder="1" applyAlignment="1">
      <alignment horizontal="center"/>
    </xf>
    <xf numFmtId="6" fontId="33" fillId="8" borderId="177" xfId="0" applyNumberFormat="1" applyFont="1" applyFill="1" applyBorder="1" applyAlignment="1">
      <alignment horizontal="center"/>
    </xf>
    <xf numFmtId="6" fontId="33" fillId="8" borderId="178" xfId="0" applyNumberFormat="1" applyFont="1" applyFill="1" applyBorder="1" applyAlignment="1">
      <alignment horizontal="center"/>
    </xf>
    <xf numFmtId="6" fontId="35" fillId="8" borderId="15" xfId="0" applyNumberFormat="1" applyFont="1" applyFill="1" applyBorder="1" applyAlignment="1">
      <alignment horizontal="center" vertical="center"/>
    </xf>
    <xf numFmtId="6" fontId="35" fillId="8" borderId="182" xfId="0" applyNumberFormat="1" applyFont="1" applyFill="1" applyBorder="1" applyAlignment="1">
      <alignment horizontal="center" vertical="center"/>
    </xf>
    <xf numFmtId="6" fontId="35" fillId="8" borderId="85" xfId="0" applyNumberFormat="1" applyFont="1" applyFill="1" applyBorder="1" applyAlignment="1">
      <alignment horizontal="center" vertical="center"/>
    </xf>
    <xf numFmtId="6" fontId="35" fillId="8" borderId="142" xfId="0" applyNumberFormat="1" applyFont="1" applyFill="1" applyBorder="1" applyAlignment="1">
      <alignment horizontal="center" vertical="center"/>
    </xf>
    <xf numFmtId="6" fontId="35" fillId="8" borderId="152" xfId="0" applyNumberFormat="1" applyFont="1" applyFill="1" applyBorder="1" applyAlignment="1">
      <alignment horizontal="center" vertical="center"/>
    </xf>
    <xf numFmtId="6" fontId="35" fillId="8" borderId="131" xfId="0" applyNumberFormat="1" applyFont="1" applyFill="1" applyBorder="1" applyAlignment="1">
      <alignment horizontal="center" vertical="center"/>
    </xf>
    <xf numFmtId="6" fontId="35" fillId="8" borderId="175" xfId="0" applyNumberFormat="1" applyFont="1" applyFill="1" applyBorder="1" applyAlignment="1">
      <alignment horizontal="center" vertical="center"/>
    </xf>
    <xf numFmtId="43" fontId="0" fillId="4" borderId="0" xfId="3" applyFont="1" applyFill="1"/>
    <xf numFmtId="0" fontId="3" fillId="5" borderId="0" xfId="0" applyFont="1" applyFill="1" applyAlignment="1"/>
    <xf numFmtId="0" fontId="7" fillId="7" borderId="17" xfId="0" applyFont="1" applyFill="1" applyBorder="1" applyAlignment="1">
      <alignment horizontal="center" vertical="center"/>
    </xf>
    <xf numFmtId="0" fontId="37" fillId="4" borderId="0" xfId="0" applyFont="1" applyFill="1" applyBorder="1" applyAlignment="1"/>
    <xf numFmtId="6" fontId="33" fillId="8" borderId="176" xfId="0" applyNumberFormat="1" applyFont="1" applyFill="1" applyBorder="1" applyAlignment="1">
      <alignment horizontal="center" vertical="center"/>
    </xf>
    <xf numFmtId="6" fontId="33" fillId="8" borderId="177" xfId="0" applyNumberFormat="1" applyFont="1" applyFill="1" applyBorder="1" applyAlignment="1">
      <alignment horizontal="center" vertical="center"/>
    </xf>
    <xf numFmtId="0" fontId="12" fillId="4" borderId="0" xfId="0" applyFont="1" applyFill="1"/>
    <xf numFmtId="0" fontId="20" fillId="4" borderId="0" xfId="0" applyFont="1" applyFill="1" applyAlignment="1"/>
    <xf numFmtId="0" fontId="9" fillId="4" borderId="0" xfId="0" applyFont="1" applyFill="1" applyAlignment="1">
      <alignment wrapText="1"/>
    </xf>
    <xf numFmtId="165" fontId="2" fillId="8" borderId="13" xfId="0" applyNumberFormat="1" applyFont="1" applyFill="1" applyBorder="1" applyAlignment="1">
      <alignment horizontal="center" vertical="center"/>
    </xf>
    <xf numFmtId="165" fontId="2" fillId="8" borderId="16" xfId="0" applyNumberFormat="1" applyFont="1" applyFill="1" applyBorder="1" applyAlignment="1">
      <alignment horizontal="center" vertical="center"/>
    </xf>
    <xf numFmtId="0" fontId="2" fillId="4" borderId="88" xfId="0" applyFont="1" applyFill="1" applyBorder="1" applyAlignment="1">
      <alignment horizontal="center" vertical="center" wrapText="1"/>
    </xf>
    <xf numFmtId="0" fontId="14" fillId="8" borderId="15" xfId="0" applyFont="1" applyFill="1" applyBorder="1" applyAlignment="1">
      <alignment horizontal="center" vertical="center" wrapText="1"/>
    </xf>
    <xf numFmtId="9" fontId="14" fillId="8" borderId="51" xfId="0" applyNumberFormat="1" applyFont="1" applyFill="1" applyBorder="1" applyAlignment="1">
      <alignment horizontal="center" vertical="center" wrapText="1"/>
    </xf>
    <xf numFmtId="0" fontId="14" fillId="8" borderId="189" xfId="0" applyFont="1" applyFill="1" applyBorder="1" applyAlignment="1">
      <alignment horizontal="center" vertical="center" wrapText="1"/>
    </xf>
    <xf numFmtId="1" fontId="14" fillId="6" borderId="190" xfId="0" applyNumberFormat="1" applyFont="1" applyFill="1" applyBorder="1" applyAlignment="1">
      <alignment horizontal="center" vertical="center" wrapText="1"/>
    </xf>
    <xf numFmtId="9" fontId="14" fillId="8" borderId="192" xfId="0" applyNumberFormat="1" applyFont="1" applyFill="1" applyBorder="1" applyAlignment="1">
      <alignment horizontal="center" vertical="center" wrapText="1"/>
    </xf>
    <xf numFmtId="9" fontId="14" fillId="6" borderId="18" xfId="0" applyNumberFormat="1" applyFont="1" applyFill="1" applyBorder="1" applyAlignment="1">
      <alignment horizontal="center" vertical="center" wrapText="1"/>
    </xf>
    <xf numFmtId="9" fontId="14" fillId="6" borderId="15" xfId="0" applyNumberFormat="1" applyFont="1" applyFill="1" applyBorder="1" applyAlignment="1">
      <alignment horizontal="center" vertical="center" wrapText="1"/>
    </xf>
    <xf numFmtId="0" fontId="14" fillId="8" borderId="27" xfId="0" applyFont="1" applyFill="1" applyBorder="1" applyAlignment="1">
      <alignment horizontal="center" vertical="center" wrapText="1"/>
    </xf>
    <xf numFmtId="1" fontId="14" fillId="6" borderId="193" xfId="0" applyNumberFormat="1" applyFont="1" applyFill="1" applyBorder="1" applyAlignment="1">
      <alignment horizontal="center" vertical="center" wrapText="1"/>
    </xf>
    <xf numFmtId="9" fontId="14" fillId="8" borderId="194" xfId="0" applyNumberFormat="1" applyFont="1" applyFill="1" applyBorder="1" applyAlignment="1">
      <alignment horizontal="center" vertical="center" wrapText="1"/>
    </xf>
    <xf numFmtId="1" fontId="14" fillId="6" borderId="197" xfId="0" applyNumberFormat="1" applyFont="1" applyFill="1" applyBorder="1" applyAlignment="1">
      <alignment horizontal="center" vertical="center" wrapText="1"/>
    </xf>
    <xf numFmtId="0" fontId="14" fillId="8" borderId="198" xfId="0" applyFont="1" applyFill="1" applyBorder="1" applyAlignment="1">
      <alignment horizontal="center" vertical="center" wrapText="1"/>
    </xf>
    <xf numFmtId="0" fontId="14" fillId="8" borderId="197" xfId="0" applyFont="1" applyFill="1" applyBorder="1" applyAlignment="1">
      <alignment horizontal="center" vertical="center" wrapText="1"/>
    </xf>
    <xf numFmtId="9" fontId="14" fillId="8" borderId="199" xfId="0" applyNumberFormat="1" applyFont="1" applyFill="1" applyBorder="1" applyAlignment="1">
      <alignment horizontal="center" vertical="center" wrapText="1"/>
    </xf>
    <xf numFmtId="165" fontId="2" fillId="8" borderId="7" xfId="0" applyNumberFormat="1" applyFont="1" applyFill="1" applyBorder="1" applyAlignment="1">
      <alignment horizontal="center" vertical="center"/>
    </xf>
    <xf numFmtId="165" fontId="2" fillId="8" borderId="190" xfId="0" applyNumberFormat="1" applyFont="1" applyFill="1" applyBorder="1" applyAlignment="1">
      <alignment horizontal="center" vertical="center"/>
    </xf>
    <xf numFmtId="165" fontId="2" fillId="8" borderId="200" xfId="0" applyNumberFormat="1" applyFont="1" applyFill="1" applyBorder="1" applyAlignment="1">
      <alignment horizontal="center" vertical="center"/>
    </xf>
    <xf numFmtId="165" fontId="2" fillId="8" borderId="201" xfId="0" applyNumberFormat="1" applyFont="1" applyFill="1" applyBorder="1" applyAlignment="1">
      <alignment horizontal="center" vertical="center"/>
    </xf>
    <xf numFmtId="165" fontId="2" fillId="8" borderId="202" xfId="0" applyNumberFormat="1" applyFont="1" applyFill="1" applyBorder="1" applyAlignment="1">
      <alignment horizontal="center" vertical="center"/>
    </xf>
    <xf numFmtId="165" fontId="2" fillId="8" borderId="203" xfId="0" applyNumberFormat="1" applyFont="1" applyFill="1" applyBorder="1" applyAlignment="1">
      <alignment horizontal="center" vertical="center"/>
    </xf>
    <xf numFmtId="0" fontId="39" fillId="4" borderId="0" xfId="0" applyFont="1" applyFill="1"/>
    <xf numFmtId="0" fontId="40" fillId="4" borderId="0" xfId="0" applyFont="1" applyFill="1" applyAlignment="1">
      <alignment wrapText="1"/>
    </xf>
    <xf numFmtId="0" fontId="0" fillId="6" borderId="0" xfId="0" applyFill="1"/>
    <xf numFmtId="0" fontId="0" fillId="6" borderId="0" xfId="0" applyFill="1" applyAlignment="1"/>
    <xf numFmtId="0" fontId="28" fillId="4" borderId="0" xfId="0" applyFont="1" applyFill="1"/>
    <xf numFmtId="0" fontId="44" fillId="4" borderId="0" xfId="0" applyFont="1" applyFill="1"/>
    <xf numFmtId="0" fontId="31" fillId="4" borderId="0" xfId="4" applyFont="1" applyFill="1"/>
    <xf numFmtId="0" fontId="30" fillId="4" borderId="0" xfId="4" applyFill="1"/>
    <xf numFmtId="0" fontId="30" fillId="4" borderId="0" xfId="4" applyFill="1" applyBorder="1" applyAlignment="1">
      <alignment horizontal="left"/>
    </xf>
    <xf numFmtId="0" fontId="30" fillId="4" borderId="0" xfId="4" applyFill="1" applyBorder="1"/>
    <xf numFmtId="0" fontId="30" fillId="4" borderId="0" xfId="4" applyFill="1" applyBorder="1" applyAlignment="1">
      <alignment horizontal="center"/>
    </xf>
    <xf numFmtId="0" fontId="32" fillId="4" borderId="0" xfId="4" applyFont="1" applyFill="1"/>
    <xf numFmtId="0" fontId="32" fillId="4" borderId="0" xfId="4" applyFont="1" applyFill="1" applyAlignment="1">
      <alignment horizontal="center"/>
    </xf>
    <xf numFmtId="0" fontId="0" fillId="4" borderId="0" xfId="0" applyFill="1" applyBorder="1" applyAlignment="1">
      <alignment horizontal="left"/>
    </xf>
    <xf numFmtId="0" fontId="2" fillId="4" borderId="0" xfId="0" applyFont="1" applyFill="1" applyBorder="1"/>
    <xf numFmtId="0" fontId="47" fillId="4" borderId="0" xfId="5" applyFont="1" applyFill="1"/>
    <xf numFmtId="165" fontId="7" fillId="8" borderId="206" xfId="0" applyNumberFormat="1" applyFont="1" applyFill="1" applyBorder="1" applyAlignment="1">
      <alignment horizontal="center"/>
    </xf>
    <xf numFmtId="6" fontId="7" fillId="8" borderId="74" xfId="0" applyNumberFormat="1" applyFont="1" applyFill="1" applyBorder="1" applyAlignment="1">
      <alignment horizontal="center"/>
    </xf>
    <xf numFmtId="6" fontId="15" fillId="8" borderId="207" xfId="0" applyNumberFormat="1" applyFont="1" applyFill="1" applyBorder="1" applyAlignment="1">
      <alignment horizontal="center"/>
    </xf>
    <xf numFmtId="0" fontId="0" fillId="17" borderId="0" xfId="0" applyFill="1"/>
    <xf numFmtId="1" fontId="0" fillId="0" borderId="130" xfId="0" applyNumberFormat="1" applyBorder="1" applyAlignment="1">
      <alignment horizontal="center"/>
    </xf>
    <xf numFmtId="0" fontId="0" fillId="6" borderId="0" xfId="0" applyFill="1" applyAlignment="1">
      <alignment horizontal="right" wrapText="1"/>
    </xf>
    <xf numFmtId="0" fontId="0" fillId="6" borderId="0" xfId="0" applyFill="1" applyAlignment="1">
      <alignment horizontal="right"/>
    </xf>
    <xf numFmtId="0" fontId="4" fillId="2" borderId="0" xfId="0" applyFont="1" applyFill="1" applyBorder="1" applyAlignment="1">
      <alignment horizontal="center"/>
    </xf>
    <xf numFmtId="0" fontId="0" fillId="8" borderId="0" xfId="0" applyFill="1"/>
    <xf numFmtId="0" fontId="0" fillId="8" borderId="0" xfId="0" applyFill="1" applyAlignment="1">
      <alignment horizontal="center"/>
    </xf>
    <xf numFmtId="0" fontId="2" fillId="7" borderId="211" xfId="0" applyFont="1" applyFill="1" applyBorder="1" applyAlignment="1">
      <alignment horizontal="center" vertical="center" wrapText="1"/>
    </xf>
    <xf numFmtId="0" fontId="2" fillId="7" borderId="15" xfId="0" applyFont="1" applyFill="1" applyBorder="1" applyAlignment="1">
      <alignment horizontal="center" vertical="center" wrapText="1"/>
    </xf>
    <xf numFmtId="0" fontId="7" fillId="7" borderId="216" xfId="0" applyFont="1" applyFill="1" applyBorder="1" applyAlignment="1">
      <alignment horizontal="center" vertical="center" wrapText="1"/>
    </xf>
    <xf numFmtId="0" fontId="7" fillId="7" borderId="217" xfId="0" applyFont="1" applyFill="1" applyBorder="1" applyAlignment="1">
      <alignment horizontal="center" vertical="center"/>
    </xf>
    <xf numFmtId="0" fontId="7" fillId="8" borderId="189" xfId="0" applyFont="1" applyFill="1" applyBorder="1" applyAlignment="1">
      <alignment vertical="center" wrapText="1"/>
    </xf>
    <xf numFmtId="0" fontId="7" fillId="8" borderId="15" xfId="0" applyFont="1" applyFill="1" applyBorder="1" applyAlignment="1">
      <alignment vertical="center" wrapText="1"/>
    </xf>
    <xf numFmtId="0" fontId="7" fillId="8" borderId="131" xfId="0" applyFont="1" applyFill="1" applyBorder="1" applyAlignment="1">
      <alignment vertical="center" wrapText="1"/>
    </xf>
    <xf numFmtId="0" fontId="7" fillId="8" borderId="132" xfId="0" applyFont="1" applyFill="1" applyBorder="1" applyAlignment="1">
      <alignment vertical="center" wrapText="1"/>
    </xf>
    <xf numFmtId="0" fontId="1" fillId="8" borderId="0" xfId="0" applyFont="1" applyFill="1"/>
    <xf numFmtId="0" fontId="1" fillId="8" borderId="0" xfId="0" applyFont="1" applyFill="1" applyAlignment="1">
      <alignment horizontal="center"/>
    </xf>
    <xf numFmtId="6" fontId="0" fillId="8" borderId="0" xfId="0" applyNumberFormat="1" applyFill="1"/>
    <xf numFmtId="8" fontId="0" fillId="8" borderId="0" xfId="0" applyNumberFormat="1" applyFill="1"/>
    <xf numFmtId="42" fontId="0" fillId="8" borderId="0" xfId="0" applyNumberFormat="1" applyFill="1"/>
    <xf numFmtId="42" fontId="0" fillId="8" borderId="0" xfId="1" applyNumberFormat="1" applyFont="1" applyFill="1"/>
    <xf numFmtId="5" fontId="0" fillId="8" borderId="0" xfId="1" applyNumberFormat="1" applyFont="1" applyFill="1"/>
    <xf numFmtId="165" fontId="0" fillId="8" borderId="0" xfId="0" applyNumberFormat="1" applyFill="1"/>
    <xf numFmtId="3" fontId="0" fillId="8" borderId="0" xfId="0" applyNumberFormat="1" applyFill="1"/>
    <xf numFmtId="0" fontId="0" fillId="19" borderId="0" xfId="0" applyFill="1"/>
    <xf numFmtId="0" fontId="0" fillId="14" borderId="0" xfId="0" applyFill="1"/>
    <xf numFmtId="0" fontId="7" fillId="8" borderId="0" xfId="0" applyFont="1" applyFill="1" applyAlignment="1">
      <alignment horizontal="center"/>
    </xf>
    <xf numFmtId="0" fontId="0" fillId="19" borderId="0" xfId="0" applyFill="1" applyAlignment="1">
      <alignment wrapText="1"/>
    </xf>
    <xf numFmtId="0" fontId="24" fillId="19" borderId="0" xfId="0" applyFont="1" applyFill="1" applyAlignment="1">
      <alignment horizontal="center"/>
    </xf>
    <xf numFmtId="0" fontId="0" fillId="8" borderId="130" xfId="0" applyFill="1" applyBorder="1" applyAlignment="1">
      <alignment horizontal="right" wrapText="1"/>
    </xf>
    <xf numFmtId="6" fontId="0" fillId="8" borderId="130" xfId="0" applyNumberFormat="1" applyFill="1" applyBorder="1"/>
    <xf numFmtId="44" fontId="0" fillId="8" borderId="130" xfId="1" applyFont="1" applyFill="1" applyBorder="1"/>
    <xf numFmtId="8" fontId="0" fillId="8" borderId="130" xfId="0" applyNumberFormat="1" applyFill="1" applyBorder="1"/>
    <xf numFmtId="0" fontId="0" fillId="8" borderId="130" xfId="0" applyFill="1" applyBorder="1" applyAlignment="1">
      <alignment horizontal="right"/>
    </xf>
    <xf numFmtId="0" fontId="0" fillId="8" borderId="130" xfId="0" applyFill="1" applyBorder="1"/>
    <xf numFmtId="0" fontId="0" fillId="8" borderId="0" xfId="0" applyFill="1" applyAlignment="1">
      <alignment horizontal="center" wrapText="1"/>
    </xf>
    <xf numFmtId="9" fontId="0" fillId="0" borderId="0" xfId="0" applyNumberFormat="1" applyAlignment="1">
      <alignment horizontal="center" vertical="center"/>
    </xf>
    <xf numFmtId="5" fontId="0" fillId="8" borderId="0" xfId="0" applyNumberFormat="1" applyFill="1"/>
    <xf numFmtId="3" fontId="0" fillId="8" borderId="0" xfId="1" applyNumberFormat="1" applyFont="1" applyFill="1"/>
    <xf numFmtId="165" fontId="0" fillId="8" borderId="0" xfId="1" applyNumberFormat="1" applyFont="1" applyFill="1"/>
    <xf numFmtId="0" fontId="28" fillId="14" borderId="0" xfId="0" applyFont="1" applyFill="1"/>
    <xf numFmtId="0" fontId="28" fillId="8" borderId="0" xfId="0" applyFont="1" applyFill="1"/>
    <xf numFmtId="0" fontId="7" fillId="8" borderId="0" xfId="0" applyFont="1" applyFill="1" applyAlignment="1"/>
    <xf numFmtId="0" fontId="7" fillId="14" borderId="0" xfId="0" applyFont="1" applyFill="1" applyAlignment="1"/>
    <xf numFmtId="171" fontId="0" fillId="8" borderId="0" xfId="0" applyNumberFormat="1" applyFill="1"/>
    <xf numFmtId="1" fontId="0" fillId="8" borderId="130" xfId="0" applyNumberFormat="1" applyFill="1" applyBorder="1" applyAlignment="1">
      <alignment horizontal="center"/>
    </xf>
    <xf numFmtId="1" fontId="0" fillId="8" borderId="130" xfId="1" applyNumberFormat="1" applyFont="1" applyFill="1" applyBorder="1" applyAlignment="1">
      <alignment horizontal="center"/>
    </xf>
    <xf numFmtId="1" fontId="0" fillId="8" borderId="130" xfId="0" applyNumberFormat="1" applyFont="1" applyFill="1" applyBorder="1" applyAlignment="1">
      <alignment horizontal="center"/>
    </xf>
    <xf numFmtId="0" fontId="24" fillId="19" borderId="0" xfId="0" applyFont="1" applyFill="1" applyAlignment="1">
      <alignment wrapText="1"/>
    </xf>
    <xf numFmtId="1" fontId="0" fillId="8" borderId="0" xfId="0" applyNumberFormat="1" applyFill="1" applyAlignment="1">
      <alignment horizontal="center"/>
    </xf>
    <xf numFmtId="0" fontId="1" fillId="14" borderId="0" xfId="0" applyFont="1" applyFill="1" applyAlignment="1"/>
    <xf numFmtId="3" fontId="0" fillId="8" borderId="0" xfId="0" applyNumberFormat="1" applyFill="1" applyAlignment="1">
      <alignment horizontal="center"/>
    </xf>
    <xf numFmtId="37" fontId="0" fillId="8" borderId="0" xfId="3" applyNumberFormat="1" applyFont="1" applyFill="1" applyAlignment="1">
      <alignment horizontal="center"/>
    </xf>
    <xf numFmtId="0" fontId="8" fillId="7" borderId="15" xfId="0" applyFont="1" applyFill="1" applyBorder="1" applyAlignment="1">
      <alignment horizontal="center" vertical="center" wrapText="1"/>
    </xf>
    <xf numFmtId="0" fontId="8" fillId="7" borderId="83" xfId="0" applyFont="1" applyFill="1" applyBorder="1" applyAlignment="1">
      <alignment horizontal="center" vertical="center" wrapText="1"/>
    </xf>
    <xf numFmtId="0" fontId="8" fillId="7" borderId="143" xfId="0" applyFont="1" applyFill="1" applyBorder="1" applyAlignment="1">
      <alignment horizontal="center" vertical="center" wrapText="1"/>
    </xf>
    <xf numFmtId="0" fontId="8" fillId="7" borderId="20" xfId="0" applyFont="1" applyFill="1" applyBorder="1" applyAlignment="1">
      <alignment horizontal="center" vertical="center" wrapText="1"/>
    </xf>
    <xf numFmtId="0" fontId="8" fillId="4" borderId="15" xfId="0" applyFont="1" applyFill="1" applyBorder="1" applyAlignment="1">
      <alignment horizontal="center" vertical="center" wrapText="1"/>
    </xf>
    <xf numFmtId="0" fontId="4" fillId="2" borderId="185" xfId="0" applyFont="1" applyFill="1" applyBorder="1" applyAlignment="1">
      <alignment horizontal="center"/>
    </xf>
    <xf numFmtId="165" fontId="7" fillId="8" borderId="116" xfId="0" applyNumberFormat="1" applyFont="1" applyFill="1" applyBorder="1" applyAlignment="1">
      <alignment horizontal="center"/>
    </xf>
    <xf numFmtId="0" fontId="2" fillId="7" borderId="99" xfId="0" applyFont="1" applyFill="1" applyBorder="1" applyAlignment="1">
      <alignment horizontal="center" vertical="center" wrapText="1"/>
    </xf>
    <xf numFmtId="0" fontId="2" fillId="7" borderId="157" xfId="0" applyFont="1" applyFill="1" applyBorder="1" applyAlignment="1">
      <alignment horizontal="center" vertical="center" wrapText="1"/>
    </xf>
    <xf numFmtId="165" fontId="2" fillId="8" borderId="222" xfId="0" applyNumberFormat="1" applyFont="1" applyFill="1" applyBorder="1" applyAlignment="1">
      <alignment horizontal="center" vertical="center"/>
    </xf>
    <xf numFmtId="165" fontId="2" fillId="8" borderId="223" xfId="0" applyNumberFormat="1" applyFont="1" applyFill="1" applyBorder="1" applyAlignment="1">
      <alignment horizontal="center" vertical="center"/>
    </xf>
    <xf numFmtId="165" fontId="2" fillId="8" borderId="221" xfId="0" applyNumberFormat="1" applyFont="1" applyFill="1" applyBorder="1" applyAlignment="1">
      <alignment horizontal="center" vertical="center"/>
    </xf>
    <xf numFmtId="165" fontId="8" fillId="8" borderId="135" xfId="0" applyNumberFormat="1" applyFont="1" applyFill="1" applyBorder="1" applyAlignment="1">
      <alignment horizontal="center" vertical="center"/>
    </xf>
    <xf numFmtId="165" fontId="2" fillId="8" borderId="135" xfId="0" applyNumberFormat="1" applyFont="1" applyFill="1" applyBorder="1" applyAlignment="1">
      <alignment horizontal="center" vertical="center"/>
    </xf>
    <xf numFmtId="165" fontId="2" fillId="8" borderId="224" xfId="0" applyNumberFormat="1" applyFont="1" applyFill="1" applyBorder="1" applyAlignment="1">
      <alignment horizontal="center" vertical="center"/>
    </xf>
    <xf numFmtId="0" fontId="8" fillId="6" borderId="0" xfId="0" applyFont="1" applyFill="1" applyBorder="1" applyAlignment="1">
      <alignment horizontal="center"/>
    </xf>
    <xf numFmtId="0" fontId="8" fillId="19" borderId="83" xfId="0" applyFont="1" applyFill="1" applyBorder="1" applyAlignment="1">
      <alignment horizontal="center" vertical="center" wrapText="1"/>
    </xf>
    <xf numFmtId="1" fontId="7" fillId="8" borderId="225" xfId="0" applyNumberFormat="1" applyFont="1" applyFill="1" applyBorder="1" applyAlignment="1">
      <alignment horizontal="center"/>
    </xf>
    <xf numFmtId="1" fontId="7" fillId="8" borderId="228" xfId="0" applyNumberFormat="1" applyFont="1" applyFill="1" applyBorder="1" applyAlignment="1">
      <alignment horizontal="center"/>
    </xf>
    <xf numFmtId="165" fontId="8" fillId="8" borderId="223" xfId="0" applyNumberFormat="1" applyFont="1" applyFill="1" applyBorder="1" applyAlignment="1">
      <alignment horizontal="center" vertical="center"/>
    </xf>
    <xf numFmtId="165" fontId="8" fillId="8" borderId="95" xfId="0" applyNumberFormat="1" applyFont="1" applyFill="1" applyBorder="1" applyAlignment="1">
      <alignment horizontal="center" vertical="center"/>
    </xf>
    <xf numFmtId="165" fontId="8" fillId="8" borderId="231" xfId="0" applyNumberFormat="1" applyFont="1" applyFill="1" applyBorder="1" applyAlignment="1">
      <alignment horizontal="center" vertical="center"/>
    </xf>
    <xf numFmtId="0" fontId="8" fillId="7" borderId="233" xfId="0" applyFont="1" applyFill="1" applyBorder="1" applyAlignment="1">
      <alignment horizontal="center" vertical="center" wrapText="1"/>
    </xf>
    <xf numFmtId="0" fontId="8" fillId="7" borderId="234" xfId="0" applyFont="1" applyFill="1" applyBorder="1" applyAlignment="1">
      <alignment horizontal="center" vertical="center" wrapText="1"/>
    </xf>
    <xf numFmtId="0" fontId="7" fillId="7" borderId="236" xfId="0" applyFont="1" applyFill="1" applyBorder="1" applyAlignment="1">
      <alignment horizontal="center" vertical="center" wrapText="1"/>
    </xf>
    <xf numFmtId="0" fontId="7" fillId="7" borderId="185" xfId="0" applyFont="1" applyFill="1" applyBorder="1" applyAlignment="1">
      <alignment horizontal="center" vertical="center" wrapText="1"/>
    </xf>
    <xf numFmtId="0" fontId="8" fillId="7" borderId="239" xfId="0" applyFont="1" applyFill="1" applyBorder="1" applyAlignment="1">
      <alignment horizontal="center" vertical="center" wrapText="1"/>
    </xf>
    <xf numFmtId="0" fontId="8" fillId="19" borderId="146" xfId="0" applyFont="1" applyFill="1" applyBorder="1" applyAlignment="1">
      <alignment horizontal="center" vertical="center" wrapText="1"/>
    </xf>
    <xf numFmtId="0" fontId="7" fillId="8" borderId="188" xfId="0" applyFont="1" applyFill="1" applyBorder="1" applyAlignment="1">
      <alignment wrapText="1"/>
    </xf>
    <xf numFmtId="6" fontId="33" fillId="8" borderId="137" xfId="0" applyNumberFormat="1" applyFont="1" applyFill="1" applyBorder="1" applyAlignment="1">
      <alignment horizontal="center" vertical="center"/>
    </xf>
    <xf numFmtId="168" fontId="0" fillId="6" borderId="0" xfId="0" applyNumberFormat="1" applyFill="1" applyAlignment="1">
      <alignment horizontal="center" vertical="center"/>
    </xf>
    <xf numFmtId="0" fontId="3" fillId="5" borderId="0" xfId="0" applyFont="1" applyFill="1" applyBorder="1" applyAlignment="1">
      <alignment vertical="center"/>
    </xf>
    <xf numFmtId="0" fontId="4" fillId="2" borderId="0" xfId="0" applyFont="1" applyFill="1" applyBorder="1" applyAlignment="1">
      <alignment horizontal="center" vertical="center" wrapText="1"/>
    </xf>
    <xf numFmtId="5" fontId="7" fillId="8" borderId="41" xfId="0" applyNumberFormat="1" applyFont="1" applyFill="1" applyBorder="1" applyAlignment="1">
      <alignment horizontal="center" vertical="center"/>
    </xf>
    <xf numFmtId="6" fontId="7" fillId="8" borderId="84" xfId="0" applyNumberFormat="1" applyFont="1" applyFill="1" applyBorder="1" applyAlignment="1">
      <alignment horizontal="center" vertical="center"/>
    </xf>
    <xf numFmtId="0" fontId="0" fillId="4" borderId="87" xfId="0" applyFill="1" applyBorder="1" applyAlignment="1">
      <alignment vertical="center"/>
    </xf>
    <xf numFmtId="6" fontId="7" fillId="8" borderId="15" xfId="0" applyNumberFormat="1" applyFont="1" applyFill="1" applyBorder="1" applyAlignment="1">
      <alignment horizontal="center" vertical="center"/>
    </xf>
    <xf numFmtId="6" fontId="7" fillId="8" borderId="232" xfId="0" applyNumberFormat="1" applyFont="1" applyFill="1" applyBorder="1" applyAlignment="1">
      <alignment horizontal="center" vertical="center"/>
    </xf>
    <xf numFmtId="6" fontId="7" fillId="8" borderId="146" xfId="0" applyNumberFormat="1" applyFont="1" applyFill="1" applyBorder="1" applyAlignment="1">
      <alignment horizontal="center" vertical="center"/>
    </xf>
    <xf numFmtId="0" fontId="0" fillId="4" borderId="241" xfId="0" applyFill="1" applyBorder="1"/>
    <xf numFmtId="0" fontId="0" fillId="4" borderId="242" xfId="0" applyFill="1" applyBorder="1"/>
    <xf numFmtId="0" fontId="0" fillId="4" borderId="243" xfId="0" applyFill="1" applyBorder="1"/>
    <xf numFmtId="0" fontId="0" fillId="4" borderId="244" xfId="0" applyFill="1" applyBorder="1"/>
    <xf numFmtId="0" fontId="0" fillId="4" borderId="245" xfId="0" applyFill="1" applyBorder="1"/>
    <xf numFmtId="0" fontId="0" fillId="4" borderId="246" xfId="0" applyFill="1" applyBorder="1"/>
    <xf numFmtId="0" fontId="0" fillId="4" borderId="247" xfId="0" applyFill="1" applyBorder="1"/>
    <xf numFmtId="0" fontId="0" fillId="4" borderId="240" xfId="0" applyFill="1" applyBorder="1"/>
    <xf numFmtId="0" fontId="0" fillId="4" borderId="243" xfId="0" applyFont="1" applyFill="1" applyBorder="1"/>
    <xf numFmtId="2" fontId="14" fillId="6" borderId="191" xfId="0" applyNumberFormat="1" applyFont="1" applyFill="1" applyBorder="1" applyAlignment="1">
      <alignment horizontal="center" vertical="center" wrapText="1"/>
    </xf>
    <xf numFmtId="2" fontId="14" fillId="6" borderId="34" xfId="0" applyNumberFormat="1" applyFont="1" applyFill="1" applyBorder="1" applyAlignment="1">
      <alignment horizontal="center" vertical="center" wrapText="1"/>
    </xf>
    <xf numFmtId="2" fontId="14" fillId="6" borderId="196" xfId="0" applyNumberFormat="1" applyFont="1" applyFill="1" applyBorder="1" applyAlignment="1">
      <alignment horizontal="center" vertical="center" wrapText="1"/>
    </xf>
    <xf numFmtId="2" fontId="14" fillId="6" borderId="195" xfId="0" applyNumberFormat="1" applyFont="1" applyFill="1" applyBorder="1" applyAlignment="1">
      <alignment horizontal="center" vertical="center" wrapText="1"/>
    </xf>
    <xf numFmtId="2" fontId="14" fillId="6" borderId="30" xfId="0" applyNumberFormat="1" applyFont="1" applyFill="1" applyBorder="1" applyAlignment="1">
      <alignment horizontal="center" vertical="center" wrapText="1"/>
    </xf>
    <xf numFmtId="2" fontId="14" fillId="6" borderId="126" xfId="0" applyNumberFormat="1" applyFont="1" applyFill="1" applyBorder="1" applyAlignment="1">
      <alignment horizontal="center" vertical="center" wrapText="1"/>
    </xf>
    <xf numFmtId="2" fontId="14" fillId="6" borderId="109" xfId="0" applyNumberFormat="1" applyFont="1" applyFill="1" applyBorder="1" applyAlignment="1">
      <alignment horizontal="center" vertical="center" wrapText="1"/>
    </xf>
    <xf numFmtId="2" fontId="14" fillId="6" borderId="110" xfId="0" applyNumberFormat="1" applyFont="1" applyFill="1" applyBorder="1" applyAlignment="1">
      <alignment horizontal="center" vertical="center" wrapText="1"/>
    </xf>
    <xf numFmtId="1" fontId="0" fillId="6" borderId="77" xfId="2" applyNumberFormat="1" applyFont="1" applyFill="1" applyBorder="1" applyAlignment="1">
      <alignment horizontal="center"/>
    </xf>
    <xf numFmtId="2" fontId="35" fillId="4" borderId="0" xfId="0" applyNumberFormat="1" applyFont="1" applyFill="1" applyAlignment="1">
      <alignment horizontal="center"/>
    </xf>
    <xf numFmtId="39" fontId="35" fillId="4" borderId="0" xfId="0" applyNumberFormat="1" applyFont="1" applyFill="1" applyBorder="1" applyAlignment="1">
      <alignment horizontal="center"/>
    </xf>
    <xf numFmtId="1" fontId="0" fillId="6" borderId="250" xfId="2" applyNumberFormat="1" applyFont="1" applyFill="1" applyBorder="1" applyAlignment="1">
      <alignment horizontal="center"/>
    </xf>
    <xf numFmtId="0" fontId="4" fillId="2" borderId="253" xfId="0" applyFont="1" applyFill="1" applyBorder="1" applyAlignment="1">
      <alignment horizontal="center" vertical="center" wrapText="1"/>
    </xf>
    <xf numFmtId="39" fontId="6" fillId="6" borderId="249" xfId="1" applyNumberFormat="1" applyFont="1" applyFill="1" applyBorder="1" applyAlignment="1">
      <alignment horizontal="center" vertical="center"/>
    </xf>
    <xf numFmtId="39" fontId="6" fillId="6" borderId="251" xfId="1" applyNumberFormat="1" applyFont="1" applyFill="1" applyBorder="1" applyAlignment="1">
      <alignment horizontal="center" vertical="center"/>
    </xf>
    <xf numFmtId="39" fontId="6" fillId="6" borderId="252" xfId="1" applyNumberFormat="1" applyFont="1" applyFill="1" applyBorder="1" applyAlignment="1">
      <alignment horizontal="center" vertical="center"/>
    </xf>
    <xf numFmtId="1" fontId="0" fillId="6" borderId="48" xfId="2" applyNumberFormat="1" applyFont="1" applyFill="1" applyBorder="1" applyAlignment="1">
      <alignment horizontal="center"/>
    </xf>
    <xf numFmtId="0" fontId="53" fillId="6" borderId="77" xfId="0" applyFont="1" applyFill="1" applyBorder="1" applyAlignment="1">
      <alignment horizontal="center"/>
    </xf>
    <xf numFmtId="2" fontId="0" fillId="6" borderId="55" xfId="2" applyNumberFormat="1" applyFont="1" applyFill="1" applyBorder="1" applyAlignment="1">
      <alignment horizontal="center"/>
    </xf>
    <xf numFmtId="2" fontId="0" fillId="6" borderId="75" xfId="2" applyNumberFormat="1" applyFont="1" applyFill="1" applyBorder="1" applyAlignment="1">
      <alignment horizontal="center"/>
    </xf>
    <xf numFmtId="2" fontId="10" fillId="4" borderId="58" xfId="0" applyNumberFormat="1" applyFont="1" applyFill="1" applyBorder="1" applyAlignment="1">
      <alignment horizontal="center"/>
    </xf>
    <xf numFmtId="0" fontId="10" fillId="4" borderId="0" xfId="0" applyFont="1" applyFill="1" applyBorder="1" applyAlignment="1">
      <alignment horizontal="center"/>
    </xf>
    <xf numFmtId="2" fontId="10" fillId="4" borderId="0" xfId="0" applyNumberFormat="1" applyFont="1" applyFill="1" applyAlignment="1">
      <alignment horizontal="center"/>
    </xf>
    <xf numFmtId="2" fontId="10" fillId="4" borderId="0" xfId="0" applyNumberFormat="1" applyFont="1" applyFill="1" applyBorder="1" applyAlignment="1">
      <alignment horizontal="center" vertical="center" wrapText="1"/>
    </xf>
    <xf numFmtId="9" fontId="14" fillId="6" borderId="254" xfId="0" applyNumberFormat="1" applyFont="1" applyFill="1" applyBorder="1" applyAlignment="1">
      <alignment horizontal="center" vertical="center" wrapText="1"/>
    </xf>
    <xf numFmtId="9" fontId="14" fillId="6" borderId="190" xfId="0" applyNumberFormat="1" applyFont="1" applyFill="1" applyBorder="1" applyAlignment="1">
      <alignment horizontal="center" vertical="center" wrapText="1"/>
    </xf>
    <xf numFmtId="39" fontId="0" fillId="0" borderId="0" xfId="0" applyNumberFormat="1"/>
    <xf numFmtId="164" fontId="0" fillId="4" borderId="96" xfId="0" applyNumberFormat="1" applyFill="1" applyBorder="1" applyAlignment="1">
      <alignment horizontal="center"/>
    </xf>
    <xf numFmtId="0" fontId="0" fillId="4" borderId="96" xfId="0" applyFill="1" applyBorder="1" applyAlignment="1">
      <alignment horizontal="center"/>
    </xf>
    <xf numFmtId="9" fontId="0" fillId="4" borderId="96" xfId="0" applyNumberFormat="1" applyFill="1" applyBorder="1" applyAlignment="1">
      <alignment horizontal="center"/>
    </xf>
    <xf numFmtId="164" fontId="0" fillId="4" borderId="0" xfId="0" applyNumberFormat="1" applyFill="1" applyAlignment="1">
      <alignment horizontal="center"/>
    </xf>
    <xf numFmtId="172" fontId="0" fillId="4" borderId="0" xfId="1" applyNumberFormat="1" applyFont="1" applyFill="1" applyAlignment="1">
      <alignment horizontal="center"/>
    </xf>
    <xf numFmtId="7" fontId="13" fillId="4" borderId="0" xfId="0" applyNumberFormat="1" applyFont="1" applyFill="1"/>
    <xf numFmtId="0" fontId="59" fillId="6" borderId="257" xfId="0" applyFont="1" applyFill="1" applyBorder="1" applyAlignment="1">
      <alignment horizontal="center" vertical="center" wrapText="1"/>
    </xf>
    <xf numFmtId="0" fontId="4" fillId="2" borderId="259" xfId="0" applyFont="1" applyFill="1" applyBorder="1" applyAlignment="1">
      <alignment horizontal="center" vertical="center" wrapText="1"/>
    </xf>
    <xf numFmtId="0" fontId="4" fillId="2" borderId="58" xfId="0" applyFont="1" applyFill="1" applyBorder="1" applyAlignment="1">
      <alignment horizontal="center" vertical="center" wrapText="1"/>
    </xf>
    <xf numFmtId="1" fontId="2" fillId="8" borderId="269" xfId="2" applyNumberFormat="1" applyFont="1" applyFill="1" applyBorder="1" applyAlignment="1">
      <alignment horizontal="center" vertical="center" wrapText="1"/>
    </xf>
    <xf numFmtId="37" fontId="10" fillId="8" borderId="265" xfId="1" applyNumberFormat="1" applyFont="1" applyFill="1" applyBorder="1" applyAlignment="1">
      <alignment horizontal="center" vertical="center" wrapText="1"/>
    </xf>
    <xf numFmtId="37" fontId="10" fillId="8" borderId="266" xfId="1" applyNumberFormat="1" applyFont="1" applyFill="1" applyBorder="1" applyAlignment="1">
      <alignment horizontal="center" vertical="center" wrapText="1"/>
    </xf>
    <xf numFmtId="37" fontId="10" fillId="8" borderId="271" xfId="1" applyNumberFormat="1" applyFont="1" applyFill="1" applyBorder="1" applyAlignment="1">
      <alignment horizontal="center" vertical="center" wrapText="1"/>
    </xf>
    <xf numFmtId="37" fontId="10" fillId="8" borderId="67" xfId="1" applyNumberFormat="1" applyFont="1" applyFill="1" applyBorder="1" applyAlignment="1">
      <alignment horizontal="center" vertical="center" wrapText="1"/>
    </xf>
    <xf numFmtId="5" fontId="2" fillId="8" borderId="67" xfId="1" applyNumberFormat="1" applyFont="1" applyFill="1" applyBorder="1" applyAlignment="1">
      <alignment horizontal="center" vertical="center" wrapText="1"/>
    </xf>
    <xf numFmtId="6" fontId="33" fillId="8" borderId="276" xfId="0" applyNumberFormat="1" applyFont="1" applyFill="1" applyBorder="1" applyAlignment="1">
      <alignment horizontal="center"/>
    </xf>
    <xf numFmtId="6" fontId="33" fillId="8" borderId="277" xfId="0" applyNumberFormat="1" applyFont="1" applyFill="1" applyBorder="1" applyAlignment="1">
      <alignment horizontal="center"/>
    </xf>
    <xf numFmtId="6" fontId="33" fillId="8" borderId="278" xfId="0" applyNumberFormat="1" applyFont="1" applyFill="1" applyBorder="1" applyAlignment="1">
      <alignment horizontal="center"/>
    </xf>
    <xf numFmtId="6" fontId="33" fillId="8" borderId="279" xfId="0" applyNumberFormat="1" applyFont="1" applyFill="1" applyBorder="1" applyAlignment="1">
      <alignment horizontal="center"/>
    </xf>
    <xf numFmtId="6" fontId="33" fillId="8" borderId="280" xfId="0" applyNumberFormat="1" applyFont="1" applyFill="1" applyBorder="1" applyAlignment="1">
      <alignment horizontal="center"/>
    </xf>
    <xf numFmtId="6" fontId="33" fillId="8" borderId="281" xfId="0" applyNumberFormat="1" applyFont="1" applyFill="1" applyBorder="1" applyAlignment="1">
      <alignment horizontal="center"/>
    </xf>
    <xf numFmtId="0" fontId="0" fillId="11" borderId="0" xfId="0" applyFill="1"/>
    <xf numFmtId="6" fontId="33" fillId="8" borderId="132" xfId="0" applyNumberFormat="1" applyFont="1" applyFill="1" applyBorder="1" applyAlignment="1">
      <alignment horizontal="center" vertical="center"/>
    </xf>
    <xf numFmtId="6" fontId="33" fillId="8" borderId="0" xfId="0" applyNumberFormat="1" applyFont="1" applyFill="1" applyAlignment="1">
      <alignment horizontal="center" vertical="center"/>
    </xf>
    <xf numFmtId="0" fontId="0" fillId="0" borderId="0" xfId="0" applyNumberFormat="1"/>
    <xf numFmtId="165" fontId="0" fillId="4" borderId="0" xfId="0" applyNumberFormat="1" applyFill="1"/>
    <xf numFmtId="9" fontId="0" fillId="4" borderId="0" xfId="2" applyFont="1" applyFill="1"/>
    <xf numFmtId="7" fontId="0" fillId="4" borderId="0" xfId="0" applyNumberFormat="1" applyFill="1"/>
    <xf numFmtId="2" fontId="10" fillId="4" borderId="0" xfId="0" applyNumberFormat="1" applyFont="1" applyFill="1" applyBorder="1" applyAlignment="1">
      <alignment horizontal="center"/>
    </xf>
    <xf numFmtId="1" fontId="33" fillId="4" borderId="0" xfId="0" applyNumberFormat="1" applyFont="1" applyFill="1" applyAlignment="1">
      <alignment horizontal="center"/>
    </xf>
    <xf numFmtId="0" fontId="10" fillId="4" borderId="0" xfId="0" applyFont="1" applyFill="1" applyBorder="1" applyAlignment="1"/>
    <xf numFmtId="1" fontId="5" fillId="6" borderId="0" xfId="0" applyNumberFormat="1" applyFont="1" applyFill="1" applyBorder="1" applyAlignment="1">
      <alignment horizontal="center" vertical="center"/>
    </xf>
    <xf numFmtId="1" fontId="10" fillId="4" borderId="0" xfId="0" applyNumberFormat="1" applyFont="1" applyFill="1" applyAlignment="1">
      <alignment horizontal="center"/>
    </xf>
    <xf numFmtId="0" fontId="61" fillId="4" borderId="0" xfId="5" applyFont="1" applyFill="1"/>
    <xf numFmtId="0" fontId="28" fillId="4" borderId="0" xfId="0" applyFont="1" applyFill="1" applyAlignment="1">
      <alignment horizontal="left"/>
    </xf>
    <xf numFmtId="0" fontId="62" fillId="4" borderId="0" xfId="5" applyFont="1" applyFill="1"/>
    <xf numFmtId="9" fontId="18" fillId="4" borderId="0" xfId="2" applyFont="1" applyFill="1" applyAlignment="1">
      <alignment horizontal="center"/>
    </xf>
    <xf numFmtId="173" fontId="8" fillId="4" borderId="0" xfId="2" applyNumberFormat="1" applyFont="1" applyFill="1" applyBorder="1" applyAlignment="1">
      <alignment horizontal="center"/>
    </xf>
    <xf numFmtId="3" fontId="7" fillId="8" borderId="292" xfId="0" applyNumberFormat="1" applyFont="1" applyFill="1" applyBorder="1" applyAlignment="1">
      <alignment horizontal="center"/>
    </xf>
    <xf numFmtId="3" fontId="7" fillId="8" borderId="293" xfId="0" applyNumberFormat="1" applyFont="1" applyFill="1" applyBorder="1" applyAlignment="1">
      <alignment horizontal="center"/>
    </xf>
    <xf numFmtId="0" fontId="0" fillId="8" borderId="0" xfId="0" applyFill="1" applyAlignment="1">
      <alignment wrapText="1"/>
    </xf>
    <xf numFmtId="9" fontId="0" fillId="6" borderId="0" xfId="0" applyNumberFormat="1" applyFill="1"/>
    <xf numFmtId="0" fontId="4" fillId="2" borderId="0" xfId="0" applyFont="1" applyFill="1" applyBorder="1" applyAlignment="1">
      <alignment horizontal="center"/>
    </xf>
    <xf numFmtId="0" fontId="0" fillId="8" borderId="0" xfId="0" applyFill="1" applyAlignment="1">
      <alignment horizontal="center" wrapText="1"/>
    </xf>
    <xf numFmtId="0" fontId="7" fillId="8" borderId="0" xfId="0" applyFont="1" applyFill="1" applyAlignment="1">
      <alignment horizontal="center"/>
    </xf>
    <xf numFmtId="0" fontId="1" fillId="0" borderId="0" xfId="0" applyFont="1" applyAlignment="1">
      <alignment horizontal="center"/>
    </xf>
    <xf numFmtId="0" fontId="0" fillId="0" borderId="0" xfId="0" applyAlignment="1">
      <alignment horizontal="center"/>
    </xf>
    <xf numFmtId="14" fontId="0" fillId="4" borderId="0" xfId="0" applyNumberFormat="1" applyFill="1"/>
    <xf numFmtId="164" fontId="0" fillId="0" borderId="0" xfId="1" applyNumberFormat="1" applyFont="1"/>
    <xf numFmtId="0" fontId="4" fillId="2" borderId="22" xfId="0" applyFont="1" applyFill="1" applyBorder="1" applyAlignment="1">
      <alignment horizontal="center" vertical="center" wrapText="1"/>
    </xf>
    <xf numFmtId="1" fontId="6" fillId="6" borderId="75" xfId="0" applyNumberFormat="1" applyFont="1" applyFill="1" applyBorder="1" applyAlignment="1">
      <alignment horizontal="center" vertical="center"/>
    </xf>
    <xf numFmtId="1" fontId="6" fillId="6" borderId="295" xfId="0" applyNumberFormat="1" applyFont="1" applyFill="1" applyBorder="1" applyAlignment="1">
      <alignment horizontal="center" vertical="center"/>
    </xf>
    <xf numFmtId="168" fontId="6" fillId="6" borderId="295" xfId="0" applyNumberFormat="1" applyFont="1" applyFill="1" applyBorder="1" applyAlignment="1">
      <alignment horizontal="center" vertical="center"/>
    </xf>
    <xf numFmtId="168" fontId="6" fillId="6" borderId="296" xfId="0" applyNumberFormat="1" applyFont="1" applyFill="1" applyBorder="1" applyAlignment="1">
      <alignment horizontal="center" vertical="center"/>
    </xf>
    <xf numFmtId="168" fontId="6" fillId="6" borderId="67" xfId="0" applyNumberFormat="1" applyFont="1" applyFill="1" applyBorder="1" applyAlignment="1">
      <alignment horizontal="center" vertical="center"/>
    </xf>
    <xf numFmtId="0" fontId="4" fillId="2" borderId="298" xfId="0" applyFont="1" applyFill="1" applyBorder="1" applyAlignment="1">
      <alignment horizontal="center" vertical="center" wrapText="1"/>
    </xf>
    <xf numFmtId="0" fontId="0" fillId="20" borderId="0" xfId="0" applyFill="1"/>
    <xf numFmtId="0" fontId="0" fillId="4" borderId="25" xfId="0" applyFill="1" applyBorder="1"/>
    <xf numFmtId="0" fontId="1" fillId="0" borderId="0" xfId="0" applyFont="1" applyBorder="1" applyAlignment="1">
      <alignment horizontal="center"/>
    </xf>
    <xf numFmtId="3" fontId="0" fillId="0" borderId="0" xfId="0" applyNumberFormat="1" applyAlignment="1">
      <alignment horizontal="center"/>
    </xf>
    <xf numFmtId="2" fontId="0" fillId="0" borderId="0" xfId="0" applyNumberFormat="1"/>
    <xf numFmtId="0" fontId="0" fillId="21" borderId="0" xfId="0" applyFill="1"/>
    <xf numFmtId="0" fontId="1" fillId="21" borderId="4" xfId="0" applyFont="1" applyFill="1" applyBorder="1" applyAlignment="1">
      <alignment horizontal="center"/>
    </xf>
    <xf numFmtId="1" fontId="0" fillId="6" borderId="307" xfId="0" applyNumberFormat="1" applyFont="1" applyFill="1" applyBorder="1" applyAlignment="1">
      <alignment horizontal="center"/>
    </xf>
    <xf numFmtId="0" fontId="1" fillId="0" borderId="314" xfId="0" applyFont="1" applyBorder="1" applyAlignment="1">
      <alignment horizontal="center"/>
    </xf>
    <xf numFmtId="0" fontId="1" fillId="0" borderId="58" xfId="0" applyFont="1" applyBorder="1"/>
    <xf numFmtId="0" fontId="1" fillId="0" borderId="58" xfId="0" applyFont="1" applyBorder="1" applyAlignment="1">
      <alignment horizontal="center"/>
    </xf>
    <xf numFmtId="0" fontId="1" fillId="0" borderId="315" xfId="0" applyFont="1" applyBorder="1"/>
    <xf numFmtId="0" fontId="0" fillId="0" borderId="0" xfId="0" applyBorder="1"/>
    <xf numFmtId="0" fontId="0" fillId="0" borderId="7" xfId="0" applyBorder="1"/>
    <xf numFmtId="1" fontId="0" fillId="6" borderId="316" xfId="0" applyNumberFormat="1" applyFont="1" applyFill="1" applyBorder="1" applyAlignment="1">
      <alignment horizontal="center"/>
    </xf>
    <xf numFmtId="0" fontId="0" fillId="0" borderId="25" xfId="0" applyBorder="1"/>
    <xf numFmtId="0" fontId="0" fillId="0" borderId="28" xfId="0" applyBorder="1"/>
    <xf numFmtId="1" fontId="0" fillId="6" borderId="317" xfId="0" applyNumberFormat="1" applyFont="1" applyFill="1" applyBorder="1" applyAlignment="1">
      <alignment horizontal="center"/>
    </xf>
    <xf numFmtId="0" fontId="0" fillId="0" borderId="318" xfId="0" applyBorder="1"/>
    <xf numFmtId="1" fontId="0" fillId="6" borderId="319" xfId="0" applyNumberFormat="1" applyFont="1" applyFill="1" applyBorder="1" applyAlignment="1">
      <alignment horizontal="center"/>
    </xf>
    <xf numFmtId="1" fontId="0" fillId="6" borderId="320" xfId="0" applyNumberFormat="1" applyFont="1" applyFill="1" applyBorder="1" applyAlignment="1">
      <alignment horizontal="center"/>
    </xf>
    <xf numFmtId="1" fontId="0" fillId="6" borderId="321" xfId="0" applyNumberFormat="1" applyFont="1" applyFill="1" applyBorder="1" applyAlignment="1">
      <alignment horizontal="center"/>
    </xf>
    <xf numFmtId="0" fontId="0" fillId="0" borderId="322" xfId="0" applyBorder="1"/>
    <xf numFmtId="1" fontId="0" fillId="6" borderId="311" xfId="0" applyNumberFormat="1" applyFont="1" applyFill="1" applyBorder="1" applyAlignment="1">
      <alignment horizontal="center"/>
    </xf>
    <xf numFmtId="0" fontId="0" fillId="0" borderId="323" xfId="0" applyBorder="1"/>
    <xf numFmtId="1" fontId="0" fillId="6" borderId="324" xfId="0" applyNumberFormat="1" applyFont="1" applyFill="1" applyBorder="1" applyAlignment="1">
      <alignment horizontal="center"/>
    </xf>
    <xf numFmtId="1" fontId="0" fillId="6" borderId="325" xfId="0" applyNumberFormat="1" applyFont="1" applyFill="1" applyBorder="1" applyAlignment="1">
      <alignment horizontal="center"/>
    </xf>
    <xf numFmtId="0" fontId="0" fillId="0" borderId="326" xfId="0" applyBorder="1"/>
    <xf numFmtId="6" fontId="10" fillId="8" borderId="134" xfId="0" applyNumberFormat="1" applyFont="1" applyFill="1" applyBorder="1" applyAlignment="1">
      <alignment horizontal="center"/>
    </xf>
    <xf numFmtId="6" fontId="18" fillId="8" borderId="152" xfId="0" applyNumberFormat="1" applyFont="1" applyFill="1" applyBorder="1" applyAlignment="1">
      <alignment horizontal="center" vertical="center"/>
    </xf>
    <xf numFmtId="173" fontId="18" fillId="4" borderId="0" xfId="2" applyNumberFormat="1" applyFont="1" applyFill="1" applyAlignment="1">
      <alignment horizontal="center"/>
    </xf>
    <xf numFmtId="173" fontId="2" fillId="4" borderId="0" xfId="2" applyNumberFormat="1" applyFont="1" applyFill="1"/>
    <xf numFmtId="165" fontId="7" fillId="8" borderId="327" xfId="0" applyNumberFormat="1" applyFont="1" applyFill="1" applyBorder="1" applyAlignment="1">
      <alignment horizontal="center"/>
    </xf>
    <xf numFmtId="0" fontId="48" fillId="11" borderId="0" xfId="0" applyFont="1" applyFill="1" applyAlignment="1">
      <alignment vertical="center"/>
    </xf>
    <xf numFmtId="0" fontId="4" fillId="2" borderId="171" xfId="0" applyFont="1" applyFill="1" applyBorder="1" applyAlignment="1">
      <alignment vertical="center" wrapText="1"/>
    </xf>
    <xf numFmtId="0" fontId="4" fillId="2" borderId="328" xfId="0" applyFont="1" applyFill="1" applyBorder="1" applyAlignment="1">
      <alignment vertical="center" wrapText="1"/>
    </xf>
    <xf numFmtId="9" fontId="0" fillId="6" borderId="0" xfId="2" applyFont="1" applyFill="1"/>
    <xf numFmtId="0" fontId="7" fillId="8" borderId="329" xfId="0" applyFont="1" applyFill="1" applyBorder="1"/>
    <xf numFmtId="0" fontId="7" fillId="8" borderId="3" xfId="0" applyFont="1" applyFill="1" applyBorder="1"/>
    <xf numFmtId="0" fontId="7" fillId="8" borderId="3" xfId="0" applyFont="1" applyFill="1" applyBorder="1" applyAlignment="1">
      <alignment wrapText="1"/>
    </xf>
    <xf numFmtId="0" fontId="7" fillId="8" borderId="330" xfId="0" applyFont="1" applyFill="1" applyBorder="1"/>
    <xf numFmtId="0" fontId="2" fillId="14" borderId="0" xfId="0" applyFont="1" applyFill="1" applyAlignment="1"/>
    <xf numFmtId="0" fontId="8" fillId="7" borderId="333" xfId="0" applyFont="1" applyFill="1" applyBorder="1" applyAlignment="1">
      <alignment horizontal="center" vertical="center" wrapText="1"/>
    </xf>
    <xf numFmtId="38" fontId="33" fillId="8" borderId="334" xfId="0" applyNumberFormat="1" applyFont="1" applyFill="1" applyBorder="1" applyAlignment="1">
      <alignment horizontal="center" vertical="center"/>
    </xf>
    <xf numFmtId="38" fontId="33" fillId="8" borderId="335" xfId="0" applyNumberFormat="1" applyFont="1" applyFill="1" applyBorder="1" applyAlignment="1">
      <alignment horizontal="center" vertical="center"/>
    </xf>
    <xf numFmtId="38" fontId="33" fillId="8" borderId="336" xfId="0" applyNumberFormat="1" applyFont="1" applyFill="1" applyBorder="1" applyAlignment="1">
      <alignment horizontal="center" vertical="center"/>
    </xf>
    <xf numFmtId="38" fontId="8" fillId="8" borderId="48" xfId="0" applyNumberFormat="1" applyFont="1" applyFill="1" applyBorder="1" applyAlignment="1">
      <alignment horizontal="center" vertical="center"/>
    </xf>
    <xf numFmtId="3" fontId="2" fillId="8" borderId="60" xfId="0" applyNumberFormat="1" applyFont="1" applyFill="1" applyBorder="1" applyAlignment="1">
      <alignment horizontal="center" vertical="center"/>
    </xf>
    <xf numFmtId="3" fontId="2" fillId="8" borderId="29" xfId="0" applyNumberFormat="1" applyFont="1" applyFill="1" applyBorder="1" applyAlignment="1">
      <alignment horizontal="center" vertical="center"/>
    </xf>
    <xf numFmtId="3" fontId="2" fillId="8" borderId="294" xfId="0" applyNumberFormat="1" applyFont="1" applyFill="1" applyBorder="1" applyAlignment="1">
      <alignment horizontal="center" vertical="center"/>
    </xf>
    <xf numFmtId="3" fontId="2" fillId="8" borderId="38" xfId="0" applyNumberFormat="1" applyFont="1" applyFill="1" applyBorder="1" applyAlignment="1">
      <alignment horizontal="center" vertical="center"/>
    </xf>
    <xf numFmtId="3" fontId="2" fillId="8" borderId="18" xfId="0" applyNumberFormat="1" applyFont="1" applyFill="1" applyBorder="1" applyAlignment="1">
      <alignment horizontal="center" vertical="center"/>
    </xf>
    <xf numFmtId="3" fontId="2" fillId="8" borderId="34" xfId="0" applyNumberFormat="1" applyFont="1" applyFill="1" applyBorder="1" applyAlignment="1">
      <alignment horizontal="center" vertical="center"/>
    </xf>
    <xf numFmtId="3" fontId="2" fillId="8" borderId="337" xfId="0" applyNumberFormat="1" applyFont="1" applyFill="1" applyBorder="1" applyAlignment="1">
      <alignment horizontal="center" vertical="center"/>
    </xf>
    <xf numFmtId="3" fontId="2" fillId="8" borderId="93" xfId="0" applyNumberFormat="1" applyFont="1" applyFill="1" applyBorder="1" applyAlignment="1">
      <alignment horizontal="center" vertical="center"/>
    </xf>
    <xf numFmtId="3" fontId="2" fillId="8" borderId="37" xfId="0" applyNumberFormat="1" applyFont="1" applyFill="1" applyBorder="1" applyAlignment="1">
      <alignment horizontal="center" vertical="center"/>
    </xf>
    <xf numFmtId="6" fontId="35" fillId="8" borderId="80" xfId="0" applyNumberFormat="1" applyFont="1" applyFill="1" applyBorder="1" applyAlignment="1">
      <alignment horizontal="center" vertical="center"/>
    </xf>
    <xf numFmtId="6" fontId="35" fillId="8" borderId="297" xfId="0" applyNumberFormat="1" applyFont="1" applyFill="1" applyBorder="1" applyAlignment="1">
      <alignment horizontal="center" vertical="center"/>
    </xf>
    <xf numFmtId="6" fontId="35" fillId="8" borderId="331" xfId="0" applyNumberFormat="1" applyFont="1" applyFill="1" applyBorder="1" applyAlignment="1">
      <alignment horizontal="center" vertical="center"/>
    </xf>
    <xf numFmtId="0" fontId="8" fillId="7" borderId="338" xfId="0" applyFont="1" applyFill="1" applyBorder="1" applyAlignment="1">
      <alignment horizontal="center" vertical="center" wrapText="1"/>
    </xf>
    <xf numFmtId="0" fontId="8" fillId="7" borderId="339" xfId="0" applyFont="1" applyFill="1" applyBorder="1" applyAlignment="1">
      <alignment horizontal="center" vertical="center" wrapText="1"/>
    </xf>
    <xf numFmtId="0" fontId="8" fillId="7" borderId="22" xfId="0" applyFont="1" applyFill="1" applyBorder="1" applyAlignment="1">
      <alignment horizontal="center" vertical="center" wrapText="1"/>
    </xf>
    <xf numFmtId="6" fontId="35" fillId="8" borderId="294" xfId="0" applyNumberFormat="1" applyFont="1" applyFill="1" applyBorder="1" applyAlignment="1">
      <alignment horizontal="center" vertical="center"/>
    </xf>
    <xf numFmtId="6" fontId="35" fillId="8" borderId="340" xfId="0" applyNumberFormat="1" applyFont="1" applyFill="1" applyBorder="1" applyAlignment="1">
      <alignment horizontal="center" vertical="center"/>
    </xf>
    <xf numFmtId="6" fontId="33" fillId="8" borderId="294" xfId="0" applyNumberFormat="1" applyFont="1" applyFill="1" applyBorder="1" applyAlignment="1">
      <alignment horizontal="center" vertical="center"/>
    </xf>
    <xf numFmtId="6" fontId="33" fillId="8" borderId="16" xfId="0" applyNumberFormat="1" applyFont="1" applyFill="1" applyBorder="1" applyAlignment="1">
      <alignment horizontal="center" vertical="center"/>
    </xf>
    <xf numFmtId="6" fontId="33" fillId="8" borderId="74" xfId="0" applyNumberFormat="1" applyFont="1" applyFill="1" applyBorder="1" applyAlignment="1">
      <alignment horizontal="center" vertical="center"/>
    </xf>
    <xf numFmtId="6" fontId="33" fillId="8" borderId="93" xfId="0" applyNumberFormat="1" applyFont="1" applyFill="1" applyBorder="1" applyAlignment="1">
      <alignment horizontal="center" vertical="center"/>
    </xf>
    <xf numFmtId="6" fontId="33" fillId="8" borderId="332" xfId="0" applyNumberFormat="1" applyFont="1" applyFill="1" applyBorder="1" applyAlignment="1">
      <alignment horizontal="center" vertical="center"/>
    </xf>
    <xf numFmtId="6" fontId="33" fillId="8" borderId="22" xfId="0" applyNumberFormat="1" applyFont="1" applyFill="1" applyBorder="1" applyAlignment="1">
      <alignment horizontal="center" vertical="center"/>
    </xf>
    <xf numFmtId="6" fontId="33" fillId="8" borderId="342" xfId="0" applyNumberFormat="1" applyFont="1" applyFill="1" applyBorder="1" applyAlignment="1">
      <alignment horizontal="center" vertical="center"/>
    </xf>
    <xf numFmtId="6" fontId="33" fillId="8" borderId="341" xfId="0" applyNumberFormat="1" applyFont="1" applyFill="1" applyBorder="1" applyAlignment="1">
      <alignment horizontal="center" vertical="center"/>
    </xf>
    <xf numFmtId="0" fontId="45" fillId="4" borderId="58" xfId="5" applyFill="1" applyBorder="1" applyAlignment="1">
      <alignment vertical="center"/>
    </xf>
    <xf numFmtId="0" fontId="45" fillId="4" borderId="0" xfId="5" applyFill="1" applyBorder="1" applyAlignment="1">
      <alignment vertical="center"/>
    </xf>
    <xf numFmtId="173" fontId="0" fillId="0" borderId="0" xfId="0" applyNumberFormat="1"/>
    <xf numFmtId="9" fontId="0" fillId="0" borderId="0" xfId="2" applyFont="1"/>
    <xf numFmtId="0" fontId="4" fillId="2" borderId="0" xfId="0" applyFont="1" applyFill="1" applyBorder="1" applyAlignment="1">
      <alignment horizontal="center"/>
    </xf>
    <xf numFmtId="0" fontId="0" fillId="4" borderId="0" xfId="0" quotePrefix="1" applyFill="1" applyAlignment="1"/>
    <xf numFmtId="0" fontId="4" fillId="2" borderId="0" xfId="0" applyFont="1" applyFill="1" applyBorder="1" applyAlignment="1">
      <alignment horizontal="center" vertical="center"/>
    </xf>
    <xf numFmtId="0" fontId="4" fillId="2" borderId="50" xfId="0" applyFont="1" applyFill="1" applyBorder="1" applyAlignment="1">
      <alignment vertical="center"/>
    </xf>
    <xf numFmtId="0" fontId="4" fillId="2" borderId="0" xfId="0" applyFont="1" applyFill="1" applyBorder="1" applyAlignment="1">
      <alignment vertical="center"/>
    </xf>
    <xf numFmtId="0" fontId="4" fillId="2" borderId="48" xfId="0" applyFont="1" applyFill="1" applyBorder="1" applyAlignment="1">
      <alignment vertical="center"/>
    </xf>
    <xf numFmtId="0" fontId="1" fillId="6" borderId="0" xfId="0" applyFont="1" applyFill="1" applyBorder="1" applyAlignment="1">
      <alignment horizontal="center"/>
    </xf>
    <xf numFmtId="0" fontId="0" fillId="0" borderId="0" xfId="0" applyAlignment="1"/>
    <xf numFmtId="5" fontId="0" fillId="0" borderId="0" xfId="1" applyNumberFormat="1" applyFont="1"/>
    <xf numFmtId="0" fontId="0" fillId="8" borderId="0" xfId="0" applyFill="1" applyAlignment="1">
      <alignment horizontal="center" wrapText="1"/>
    </xf>
    <xf numFmtId="164" fontId="0" fillId="8" borderId="0" xfId="0" applyNumberFormat="1" applyFill="1"/>
    <xf numFmtId="39" fontId="6" fillId="6" borderId="343" xfId="1" applyNumberFormat="1" applyFont="1" applyFill="1" applyBorder="1" applyAlignment="1">
      <alignment horizontal="center" vertical="center"/>
    </xf>
    <xf numFmtId="39" fontId="6" fillId="6" borderId="344" xfId="1" applyNumberFormat="1" applyFont="1" applyFill="1" applyBorder="1" applyAlignment="1">
      <alignment horizontal="center" vertical="center"/>
    </xf>
    <xf numFmtId="39" fontId="6" fillId="6" borderId="345" xfId="1" applyNumberFormat="1" applyFont="1" applyFill="1" applyBorder="1" applyAlignment="1">
      <alignment horizontal="center" vertical="center"/>
    </xf>
    <xf numFmtId="168" fontId="5" fillId="6" borderId="346" xfId="0" applyNumberFormat="1" applyFont="1" applyFill="1" applyBorder="1" applyAlignment="1">
      <alignment horizontal="center" vertical="center"/>
    </xf>
    <xf numFmtId="168" fontId="5" fillId="6" borderId="347" xfId="0" applyNumberFormat="1" applyFont="1" applyFill="1" applyBorder="1" applyAlignment="1">
      <alignment horizontal="center" vertical="center"/>
    </xf>
    <xf numFmtId="1" fontId="14" fillId="6" borderId="96" xfId="0" applyNumberFormat="1" applyFont="1" applyFill="1" applyBorder="1" applyAlignment="1">
      <alignment horizontal="center" vertical="center"/>
    </xf>
    <xf numFmtId="1" fontId="14" fillId="6" borderId="349" xfId="0" applyNumberFormat="1" applyFont="1" applyFill="1" applyBorder="1" applyAlignment="1">
      <alignment horizontal="center" vertical="center"/>
    </xf>
    <xf numFmtId="1" fontId="8" fillId="4" borderId="348" xfId="0" applyNumberFormat="1" applyFont="1" applyFill="1" applyBorder="1" applyAlignment="1">
      <alignment horizontal="center"/>
    </xf>
    <xf numFmtId="0" fontId="13" fillId="4" borderId="350" xfId="0" applyFont="1" applyFill="1" applyBorder="1"/>
    <xf numFmtId="1" fontId="10" fillId="4" borderId="0" xfId="0" applyNumberFormat="1" applyFont="1" applyFill="1" applyBorder="1" applyAlignment="1">
      <alignment vertical="center"/>
    </xf>
    <xf numFmtId="2" fontId="10" fillId="4" borderId="0" xfId="0" applyNumberFormat="1" applyFont="1" applyFill="1" applyBorder="1" applyAlignment="1">
      <alignment vertical="center"/>
    </xf>
    <xf numFmtId="6" fontId="18" fillId="8" borderId="237" xfId="0" applyNumberFormat="1" applyFont="1" applyFill="1" applyBorder="1" applyAlignment="1">
      <alignment horizontal="center" vertical="center"/>
    </xf>
    <xf numFmtId="6" fontId="10" fillId="8" borderId="351" xfId="0" applyNumberFormat="1" applyFont="1" applyFill="1" applyBorder="1" applyAlignment="1">
      <alignment horizontal="center"/>
    </xf>
    <xf numFmtId="6" fontId="33" fillId="8" borderId="352" xfId="0" applyNumberFormat="1" applyFont="1" applyFill="1" applyBorder="1" applyAlignment="1">
      <alignment horizontal="center" vertical="center"/>
    </xf>
    <xf numFmtId="6" fontId="33" fillId="8" borderId="353" xfId="0" applyNumberFormat="1" applyFont="1" applyFill="1" applyBorder="1" applyAlignment="1">
      <alignment horizontal="center" vertical="center"/>
    </xf>
    <xf numFmtId="6" fontId="33" fillId="8" borderId="354" xfId="0" applyNumberFormat="1" applyFont="1" applyFill="1" applyBorder="1" applyAlignment="1">
      <alignment horizontal="center" vertical="center"/>
    </xf>
    <xf numFmtId="6" fontId="33" fillId="8" borderId="355" xfId="0" applyNumberFormat="1" applyFont="1" applyFill="1" applyBorder="1" applyAlignment="1">
      <alignment horizontal="center" vertical="center"/>
    </xf>
    <xf numFmtId="6" fontId="10" fillId="8" borderId="356" xfId="0" applyNumberFormat="1" applyFont="1" applyFill="1" applyBorder="1" applyAlignment="1">
      <alignment horizontal="center"/>
    </xf>
    <xf numFmtId="6" fontId="10" fillId="8" borderId="358" xfId="0" applyNumberFormat="1" applyFont="1" applyFill="1" applyBorder="1" applyAlignment="1">
      <alignment horizontal="center"/>
    </xf>
    <xf numFmtId="6" fontId="18" fillId="8" borderId="357" xfId="0" applyNumberFormat="1" applyFont="1" applyFill="1" applyBorder="1" applyAlignment="1">
      <alignment horizontal="center" vertical="center"/>
    </xf>
    <xf numFmtId="6" fontId="35" fillId="8" borderId="359" xfId="0" applyNumberFormat="1" applyFont="1" applyFill="1" applyBorder="1" applyAlignment="1">
      <alignment horizontal="center" vertical="center"/>
    </xf>
    <xf numFmtId="6" fontId="18" fillId="8" borderId="238" xfId="0" applyNumberFormat="1" applyFont="1" applyFill="1" applyBorder="1" applyAlignment="1">
      <alignment horizontal="center" vertical="center"/>
    </xf>
    <xf numFmtId="6" fontId="35" fillId="8" borderId="238" xfId="0" applyNumberFormat="1" applyFont="1" applyFill="1" applyBorder="1" applyAlignment="1">
      <alignment horizontal="center" vertical="center"/>
    </xf>
    <xf numFmtId="0" fontId="8" fillId="7" borderId="41" xfId="0" applyFont="1" applyFill="1" applyBorder="1" applyAlignment="1">
      <alignment horizontal="center" vertical="center" wrapText="1"/>
    </xf>
    <xf numFmtId="0" fontId="8" fillId="7" borderId="124" xfId="0" applyFont="1" applyFill="1" applyBorder="1" applyAlignment="1">
      <alignment horizontal="center" vertical="center" wrapText="1"/>
    </xf>
    <xf numFmtId="6" fontId="33" fillId="8" borderId="282" xfId="0" applyNumberFormat="1" applyFont="1" applyFill="1" applyBorder="1" applyAlignment="1">
      <alignment horizontal="center" vertical="center"/>
    </xf>
    <xf numFmtId="6" fontId="33" fillId="8" borderId="360" xfId="0" applyNumberFormat="1" applyFont="1" applyFill="1" applyBorder="1" applyAlignment="1">
      <alignment horizontal="center" vertical="center"/>
    </xf>
    <xf numFmtId="6" fontId="33" fillId="8" borderId="361" xfId="0" applyNumberFormat="1" applyFont="1" applyFill="1" applyBorder="1" applyAlignment="1">
      <alignment horizontal="center" vertical="center"/>
    </xf>
    <xf numFmtId="6" fontId="33" fillId="8" borderId="362" xfId="0" applyNumberFormat="1" applyFont="1" applyFill="1" applyBorder="1" applyAlignment="1">
      <alignment horizontal="center" vertical="center"/>
    </xf>
    <xf numFmtId="1" fontId="0" fillId="4" borderId="58" xfId="0" applyNumberFormat="1" applyFill="1" applyBorder="1"/>
    <xf numFmtId="6" fontId="33" fillId="8" borderId="363" xfId="0" applyNumberFormat="1" applyFont="1" applyFill="1" applyBorder="1" applyAlignment="1">
      <alignment horizontal="center" vertical="center"/>
    </xf>
    <xf numFmtId="6" fontId="33" fillId="8" borderId="364" xfId="0" applyNumberFormat="1" applyFont="1" applyFill="1" applyBorder="1" applyAlignment="1">
      <alignment horizontal="center" vertical="center"/>
    </xf>
    <xf numFmtId="6" fontId="33" fillId="8" borderId="365" xfId="0" applyNumberFormat="1" applyFont="1" applyFill="1" applyBorder="1" applyAlignment="1">
      <alignment horizontal="center" vertical="center"/>
    </xf>
    <xf numFmtId="6" fontId="33" fillId="8" borderId="367" xfId="0" applyNumberFormat="1" applyFont="1" applyFill="1" applyBorder="1" applyAlignment="1">
      <alignment horizontal="center" vertical="center"/>
    </xf>
    <xf numFmtId="6" fontId="33" fillId="8" borderId="366" xfId="0" applyNumberFormat="1" applyFont="1" applyFill="1" applyBorder="1" applyAlignment="1">
      <alignment horizontal="center" vertical="center"/>
    </xf>
    <xf numFmtId="2" fontId="0" fillId="6" borderId="0" xfId="0" applyNumberFormat="1" applyFill="1" applyAlignment="1">
      <alignment horizontal="center" vertical="center"/>
    </xf>
    <xf numFmtId="173" fontId="0" fillId="6" borderId="0" xfId="2" applyNumberFormat="1" applyFont="1" applyFill="1"/>
    <xf numFmtId="9" fontId="0" fillId="8" borderId="0" xfId="0" applyNumberFormat="1" applyFill="1"/>
    <xf numFmtId="166" fontId="12" fillId="4" borderId="0" xfId="0" applyNumberFormat="1" applyFont="1" applyFill="1" applyAlignment="1">
      <alignment horizontal="center"/>
    </xf>
    <xf numFmtId="0" fontId="38" fillId="3" borderId="0" xfId="0" applyFont="1" applyFill="1" applyAlignment="1">
      <alignment horizontal="center" wrapText="1"/>
    </xf>
    <xf numFmtId="0" fontId="21" fillId="4" borderId="0" xfId="0" applyFont="1" applyFill="1" applyAlignment="1">
      <alignment horizontal="center" vertical="center" wrapText="1"/>
    </xf>
    <xf numFmtId="0" fontId="2" fillId="11" borderId="0" xfId="0" applyFont="1" applyFill="1" applyAlignment="1">
      <alignment horizontal="center"/>
    </xf>
    <xf numFmtId="0" fontId="0" fillId="4" borderId="0" xfId="0" applyFill="1" applyAlignment="1">
      <alignment horizontal="left" wrapText="1"/>
    </xf>
    <xf numFmtId="0" fontId="0" fillId="16" borderId="205" xfId="0" applyFill="1" applyBorder="1" applyAlignment="1">
      <alignment horizontal="center"/>
    </xf>
    <xf numFmtId="0" fontId="0" fillId="16" borderId="204" xfId="0" applyFill="1" applyBorder="1" applyAlignment="1">
      <alignment horizontal="center"/>
    </xf>
    <xf numFmtId="0" fontId="0" fillId="6" borderId="205" xfId="0" applyFill="1" applyBorder="1" applyAlignment="1">
      <alignment horizontal="center"/>
    </xf>
    <xf numFmtId="0" fontId="0" fillId="6" borderId="204" xfId="0" applyFill="1" applyBorder="1" applyAlignment="1">
      <alignment horizontal="center"/>
    </xf>
    <xf numFmtId="0" fontId="0" fillId="4" borderId="0" xfId="0" applyFill="1" applyAlignment="1">
      <alignment horizontal="left" vertical="center" wrapText="1"/>
    </xf>
    <xf numFmtId="0" fontId="3" fillId="5" borderId="0" xfId="0" applyFont="1" applyFill="1" applyAlignment="1">
      <alignment horizontal="center"/>
    </xf>
    <xf numFmtId="0" fontId="14" fillId="4" borderId="0" xfId="0" applyFont="1" applyFill="1" applyAlignment="1">
      <alignment horizontal="left" wrapText="1"/>
    </xf>
    <xf numFmtId="0" fontId="14" fillId="4" borderId="0" xfId="0" applyFont="1" applyFill="1" applyAlignment="1">
      <alignment horizontal="left" vertical="center" wrapText="1"/>
    </xf>
    <xf numFmtId="0" fontId="2" fillId="6" borderId="97" xfId="0" applyFont="1" applyFill="1" applyBorder="1" applyAlignment="1">
      <alignment horizontal="center" vertical="center"/>
    </xf>
    <xf numFmtId="0" fontId="2" fillId="6" borderId="47" xfId="0" applyFont="1" applyFill="1" applyBorder="1" applyAlignment="1">
      <alignment horizontal="center" vertical="center"/>
    </xf>
    <xf numFmtId="0" fontId="2" fillId="6" borderId="98" xfId="0" applyFont="1" applyFill="1" applyBorder="1" applyAlignment="1">
      <alignment horizontal="center" vertical="center"/>
    </xf>
    <xf numFmtId="0" fontId="3" fillId="5" borderId="0" xfId="0" applyFont="1" applyFill="1" applyAlignment="1">
      <alignment horizontal="center" vertical="center"/>
    </xf>
    <xf numFmtId="0" fontId="41" fillId="9" borderId="0" xfId="0" applyFont="1" applyFill="1" applyAlignment="1">
      <alignment horizontal="center" vertical="center"/>
    </xf>
    <xf numFmtId="7" fontId="5" fillId="6" borderId="105" xfId="1" applyNumberFormat="1" applyFont="1" applyFill="1" applyBorder="1" applyAlignment="1">
      <alignment horizontal="center" vertical="center"/>
    </xf>
    <xf numFmtId="7" fontId="5" fillId="6" borderId="101" xfId="1" applyNumberFormat="1" applyFont="1" applyFill="1" applyBorder="1" applyAlignment="1">
      <alignment horizontal="center" vertical="center"/>
    </xf>
    <xf numFmtId="7" fontId="5" fillId="6" borderId="103" xfId="1" applyNumberFormat="1" applyFont="1" applyFill="1" applyBorder="1" applyAlignment="1">
      <alignment horizontal="center" vertical="center"/>
    </xf>
    <xf numFmtId="7" fontId="5" fillId="6" borderId="104" xfId="1" applyNumberFormat="1" applyFont="1" applyFill="1" applyBorder="1" applyAlignment="1">
      <alignment horizontal="center" vertical="center"/>
    </xf>
    <xf numFmtId="7" fontId="10" fillId="8" borderId="35" xfId="1" applyNumberFormat="1" applyFont="1" applyFill="1" applyBorder="1" applyAlignment="1">
      <alignment horizontal="center" vertical="center" wrapText="1"/>
    </xf>
    <xf numFmtId="5" fontId="10" fillId="8" borderId="7" xfId="1" applyNumberFormat="1" applyFont="1" applyFill="1" applyBorder="1" applyAlignment="1">
      <alignment horizontal="center" vertical="center" wrapText="1"/>
    </xf>
    <xf numFmtId="5" fontId="10" fillId="8" borderId="28" xfId="1" applyNumberFormat="1" applyFont="1" applyFill="1" applyBorder="1" applyAlignment="1">
      <alignment horizontal="center" vertical="center" wrapText="1"/>
    </xf>
    <xf numFmtId="7" fontId="5" fillId="6" borderId="102" xfId="1" applyNumberFormat="1" applyFont="1" applyFill="1" applyBorder="1" applyAlignment="1">
      <alignment horizontal="center" vertical="center"/>
    </xf>
    <xf numFmtId="7" fontId="5" fillId="6" borderId="106" xfId="1" applyNumberFormat="1" applyFont="1" applyFill="1" applyBorder="1" applyAlignment="1">
      <alignment horizontal="center" vertical="center"/>
    </xf>
    <xf numFmtId="7" fontId="5" fillId="6" borderId="107" xfId="1" applyNumberFormat="1" applyFont="1" applyFill="1" applyBorder="1" applyAlignment="1">
      <alignment horizontal="center" vertical="center"/>
    </xf>
    <xf numFmtId="7" fontId="5" fillId="6" borderId="108" xfId="1" applyNumberFormat="1" applyFont="1" applyFill="1" applyBorder="1" applyAlignment="1">
      <alignment horizontal="center" vertical="center"/>
    </xf>
    <xf numFmtId="5" fontId="5" fillId="8" borderId="94" xfId="1" applyNumberFormat="1" applyFont="1" applyFill="1" applyBorder="1" applyAlignment="1">
      <alignment horizontal="center" vertical="center"/>
    </xf>
    <xf numFmtId="5" fontId="5" fillId="8" borderId="99" xfId="1" applyNumberFormat="1" applyFont="1" applyFill="1" applyBorder="1" applyAlignment="1">
      <alignment horizontal="center" vertical="center"/>
    </xf>
    <xf numFmtId="5" fontId="5" fillId="8" borderId="100" xfId="1" applyNumberFormat="1" applyFont="1" applyFill="1" applyBorder="1" applyAlignment="1">
      <alignment horizontal="center" vertical="center"/>
    </xf>
    <xf numFmtId="0" fontId="11" fillId="5" borderId="0" xfId="0" applyFont="1" applyFill="1" applyAlignment="1">
      <alignment horizontal="center" vertical="center"/>
    </xf>
    <xf numFmtId="5" fontId="10" fillId="8" borderId="97" xfId="1" applyNumberFormat="1" applyFont="1" applyFill="1" applyBorder="1" applyAlignment="1">
      <alignment horizontal="center" vertical="center" wrapText="1"/>
    </xf>
    <xf numFmtId="5" fontId="10" fillId="8" borderId="47" xfId="1" applyNumberFormat="1" applyFont="1" applyFill="1" applyBorder="1" applyAlignment="1">
      <alignment horizontal="center" vertical="center" wrapText="1"/>
    </xf>
    <xf numFmtId="5" fontId="10" fillId="8" borderId="98" xfId="1" applyNumberFormat="1" applyFont="1" applyFill="1" applyBorder="1" applyAlignment="1">
      <alignment horizontal="center" vertical="center" wrapText="1"/>
    </xf>
    <xf numFmtId="0" fontId="42" fillId="9" borderId="0" xfId="0" applyFont="1" applyFill="1" applyAlignment="1">
      <alignment horizontal="center" vertical="center"/>
    </xf>
    <xf numFmtId="5" fontId="2" fillId="8" borderId="75" xfId="1" applyNumberFormat="1" applyFont="1" applyFill="1" applyBorder="1" applyAlignment="1">
      <alignment horizontal="center" vertical="center" wrapText="1"/>
    </xf>
    <xf numFmtId="5" fontId="2" fillId="8" borderId="66" xfId="1" applyNumberFormat="1" applyFont="1" applyFill="1" applyBorder="1" applyAlignment="1">
      <alignment horizontal="center" vertical="center" wrapText="1"/>
    </xf>
    <xf numFmtId="5" fontId="2" fillId="8" borderId="274" xfId="1" applyNumberFormat="1" applyFont="1" applyFill="1" applyBorder="1" applyAlignment="1">
      <alignment horizontal="center" vertical="center" wrapText="1"/>
    </xf>
    <xf numFmtId="5" fontId="2" fillId="6" borderId="75" xfId="1" applyNumberFormat="1" applyFont="1" applyFill="1" applyBorder="1" applyAlignment="1">
      <alignment horizontal="center" vertical="center" wrapText="1"/>
    </xf>
    <xf numFmtId="5" fontId="2" fillId="6" borderId="66" xfId="1" applyNumberFormat="1" applyFont="1" applyFill="1" applyBorder="1" applyAlignment="1">
      <alignment horizontal="center" vertical="center" wrapText="1"/>
    </xf>
    <xf numFmtId="5" fontId="2" fillId="6" borderId="274" xfId="1" applyNumberFormat="1" applyFont="1" applyFill="1" applyBorder="1" applyAlignment="1">
      <alignment horizontal="center" vertical="center" wrapText="1"/>
    </xf>
    <xf numFmtId="7" fontId="2" fillId="6" borderId="262" xfId="1" applyNumberFormat="1" applyFont="1" applyFill="1" applyBorder="1" applyAlignment="1">
      <alignment horizontal="center" vertical="center" wrapText="1"/>
    </xf>
    <xf numFmtId="7" fontId="2" fillId="6" borderId="264" xfId="1" applyNumberFormat="1" applyFont="1" applyFill="1" applyBorder="1" applyAlignment="1">
      <alignment horizontal="center" vertical="center" wrapText="1"/>
    </xf>
    <xf numFmtId="7" fontId="2" fillId="6" borderId="275" xfId="1" applyNumberFormat="1" applyFont="1" applyFill="1" applyBorder="1" applyAlignment="1">
      <alignment horizontal="center" vertical="center" wrapText="1"/>
    </xf>
    <xf numFmtId="7" fontId="2" fillId="6" borderId="270" xfId="1" applyNumberFormat="1" applyFont="1" applyFill="1" applyBorder="1" applyAlignment="1">
      <alignment horizontal="center" vertical="center" wrapText="1"/>
    </xf>
    <xf numFmtId="7" fontId="2" fillId="6" borderId="263" xfId="1" applyNumberFormat="1" applyFont="1" applyFill="1" applyBorder="1" applyAlignment="1">
      <alignment horizontal="center" vertical="center" wrapText="1"/>
    </xf>
    <xf numFmtId="7" fontId="2" fillId="6" borderId="273" xfId="1" applyNumberFormat="1" applyFont="1" applyFill="1" applyBorder="1" applyAlignment="1">
      <alignment horizontal="center" vertical="center" wrapText="1"/>
    </xf>
    <xf numFmtId="7" fontId="2" fillId="6" borderId="75" xfId="1" applyNumberFormat="1" applyFont="1" applyFill="1" applyBorder="1" applyAlignment="1">
      <alignment horizontal="center" vertical="center" wrapText="1"/>
    </xf>
    <xf numFmtId="7" fontId="2" fillId="6" borderId="66" xfId="1" applyNumberFormat="1" applyFont="1" applyFill="1" applyBorder="1" applyAlignment="1">
      <alignment horizontal="center" vertical="center" wrapText="1"/>
    </xf>
    <xf numFmtId="7" fontId="2" fillId="6" borderId="274" xfId="1" applyNumberFormat="1" applyFont="1" applyFill="1" applyBorder="1" applyAlignment="1">
      <alignment horizontal="center" vertical="center" wrapText="1"/>
    </xf>
    <xf numFmtId="0" fontId="28" fillId="4" borderId="0" xfId="0" applyFont="1" applyFill="1" applyAlignment="1">
      <alignment horizontal="left"/>
    </xf>
    <xf numFmtId="0" fontId="7" fillId="6" borderId="255" xfId="0" applyFont="1" applyFill="1" applyBorder="1" applyAlignment="1">
      <alignment horizontal="center" vertical="center" wrapText="1"/>
    </xf>
    <xf numFmtId="0" fontId="7" fillId="6" borderId="256" xfId="0" applyFont="1" applyFill="1" applyBorder="1" applyAlignment="1">
      <alignment horizontal="center" vertical="center" wrapText="1"/>
    </xf>
    <xf numFmtId="0" fontId="7" fillId="6" borderId="258" xfId="0" applyFont="1" applyFill="1" applyBorder="1" applyAlignment="1">
      <alignment horizontal="center" vertical="center" wrapText="1"/>
    </xf>
    <xf numFmtId="5" fontId="2" fillId="6" borderId="261" xfId="1" applyNumberFormat="1" applyFont="1" applyFill="1" applyBorder="1" applyAlignment="1">
      <alignment horizontal="center" vertical="center" wrapText="1"/>
    </xf>
    <xf numFmtId="5" fontId="2" fillId="6" borderId="260" xfId="1" applyNumberFormat="1" applyFont="1" applyFill="1" applyBorder="1" applyAlignment="1">
      <alignment horizontal="center" vertical="center" wrapText="1"/>
    </xf>
    <xf numFmtId="5" fontId="2" fillId="6" borderId="263" xfId="1" applyNumberFormat="1" applyFont="1" applyFill="1" applyBorder="1" applyAlignment="1">
      <alignment horizontal="center" vertical="center" wrapText="1"/>
    </xf>
    <xf numFmtId="5" fontId="2" fillId="6" borderId="273" xfId="1" applyNumberFormat="1" applyFont="1" applyFill="1" applyBorder="1" applyAlignment="1">
      <alignment horizontal="center" vertical="center" wrapText="1"/>
    </xf>
    <xf numFmtId="1" fontId="2" fillId="6" borderId="267" xfId="2" applyNumberFormat="1" applyFont="1" applyFill="1" applyBorder="1" applyAlignment="1">
      <alignment horizontal="center" vertical="center" wrapText="1"/>
    </xf>
    <xf numFmtId="1" fontId="2" fillId="6" borderId="268" xfId="2" applyNumberFormat="1" applyFont="1" applyFill="1" applyBorder="1" applyAlignment="1">
      <alignment horizontal="center" vertical="center" wrapText="1"/>
    </xf>
    <xf numFmtId="1" fontId="2" fillId="6" borderId="272" xfId="2" applyNumberFormat="1" applyFont="1" applyFill="1" applyBorder="1" applyAlignment="1">
      <alignment horizontal="center" vertical="center" wrapText="1"/>
    </xf>
    <xf numFmtId="7" fontId="2" fillId="6" borderId="106" xfId="1" applyNumberFormat="1" applyFont="1" applyFill="1" applyBorder="1" applyAlignment="1">
      <alignment horizontal="center" vertical="center"/>
    </xf>
    <xf numFmtId="7" fontId="2" fillId="6" borderId="107" xfId="1" applyNumberFormat="1" applyFont="1" applyFill="1" applyBorder="1" applyAlignment="1">
      <alignment horizontal="center" vertical="center"/>
    </xf>
    <xf numFmtId="7" fontId="2" fillId="6" borderId="108" xfId="1" applyNumberFormat="1" applyFont="1" applyFill="1" applyBorder="1" applyAlignment="1">
      <alignment horizontal="center" vertical="center"/>
    </xf>
    <xf numFmtId="5" fontId="2" fillId="8" borderId="289" xfId="1" applyNumberFormat="1" applyFont="1" applyFill="1" applyBorder="1" applyAlignment="1">
      <alignment horizontal="center" vertical="center"/>
    </xf>
    <xf numFmtId="5" fontId="2" fillId="8" borderId="290" xfId="1" applyNumberFormat="1" applyFont="1" applyFill="1" applyBorder="1" applyAlignment="1">
      <alignment horizontal="center" vertical="center"/>
    </xf>
    <xf numFmtId="5" fontId="2" fillId="8" borderId="291" xfId="1" applyNumberFormat="1" applyFont="1" applyFill="1" applyBorder="1" applyAlignment="1">
      <alignment horizontal="center" vertical="center"/>
    </xf>
    <xf numFmtId="1" fontId="2" fillId="6" borderId="248" xfId="0" applyNumberFormat="1" applyFont="1" applyFill="1" applyBorder="1" applyAlignment="1">
      <alignment horizontal="center" vertical="center"/>
    </xf>
    <xf numFmtId="1" fontId="2" fillId="6" borderId="283" xfId="0" applyNumberFormat="1" applyFont="1" applyFill="1" applyBorder="1" applyAlignment="1">
      <alignment horizontal="center" vertical="center"/>
    </xf>
    <xf numFmtId="1" fontId="2" fillId="6" borderId="284" xfId="0" applyNumberFormat="1" applyFont="1" applyFill="1" applyBorder="1" applyAlignment="1">
      <alignment horizontal="center" vertical="center"/>
    </xf>
    <xf numFmtId="1" fontId="2" fillId="6" borderId="75" xfId="0" applyNumberFormat="1" applyFont="1" applyFill="1" applyBorder="1" applyAlignment="1">
      <alignment horizontal="center" vertical="center"/>
    </xf>
    <xf numFmtId="1" fontId="2" fillId="6" borderId="66" xfId="0" applyNumberFormat="1" applyFont="1" applyFill="1" applyBorder="1" applyAlignment="1">
      <alignment horizontal="center" vertical="center"/>
    </xf>
    <xf numFmtId="1" fontId="2" fillId="6" borderId="67" xfId="0" applyNumberFormat="1" applyFont="1" applyFill="1" applyBorder="1" applyAlignment="1">
      <alignment horizontal="center" vertical="center"/>
    </xf>
    <xf numFmtId="5" fontId="2" fillId="8" borderId="286" xfId="1" applyNumberFormat="1" applyFont="1" applyFill="1" applyBorder="1" applyAlignment="1">
      <alignment horizontal="center" vertical="center"/>
    </xf>
    <xf numFmtId="5" fontId="2" fillId="8" borderId="287" xfId="1" applyNumberFormat="1" applyFont="1" applyFill="1" applyBorder="1" applyAlignment="1">
      <alignment horizontal="center" vertical="center"/>
    </xf>
    <xf numFmtId="5" fontId="2" fillId="8" borderId="288" xfId="1" applyNumberFormat="1" applyFont="1" applyFill="1" applyBorder="1" applyAlignment="1">
      <alignment horizontal="center" vertical="center"/>
    </xf>
    <xf numFmtId="2" fontId="2" fillId="8" borderId="97" xfId="0" applyNumberFormat="1" applyFont="1" applyFill="1" applyBorder="1" applyAlignment="1">
      <alignment horizontal="center" vertical="center"/>
    </xf>
    <xf numFmtId="2" fontId="2" fillId="8" borderId="47" xfId="0" applyNumberFormat="1" applyFont="1" applyFill="1" applyBorder="1" applyAlignment="1">
      <alignment horizontal="center" vertical="center"/>
    </xf>
    <xf numFmtId="2" fontId="2" fillId="8" borderId="98" xfId="0" applyNumberFormat="1" applyFont="1" applyFill="1" applyBorder="1" applyAlignment="1">
      <alignment horizontal="center" vertical="center"/>
    </xf>
    <xf numFmtId="7" fontId="2" fillId="6" borderId="285" xfId="1" applyNumberFormat="1" applyFont="1" applyFill="1" applyBorder="1" applyAlignment="1">
      <alignment horizontal="center" vertical="center"/>
    </xf>
    <xf numFmtId="7" fontId="2" fillId="6" borderId="103" xfId="1" applyNumberFormat="1" applyFont="1" applyFill="1" applyBorder="1" applyAlignment="1">
      <alignment horizontal="center" vertical="center"/>
    </xf>
    <xf numFmtId="7" fontId="2" fillId="6" borderId="104" xfId="1" applyNumberFormat="1" applyFont="1" applyFill="1" applyBorder="1" applyAlignment="1">
      <alignment horizontal="center" vertical="center"/>
    </xf>
    <xf numFmtId="164" fontId="2" fillId="8" borderId="303" xfId="0" applyNumberFormat="1" applyFont="1" applyFill="1" applyBorder="1" applyAlignment="1">
      <alignment horizontal="center" vertical="center"/>
    </xf>
    <xf numFmtId="164" fontId="2" fillId="8" borderId="99" xfId="0" applyNumberFormat="1" applyFont="1" applyFill="1" applyBorder="1" applyAlignment="1">
      <alignment horizontal="center" vertical="center"/>
    </xf>
    <xf numFmtId="164" fontId="2" fillId="8" borderId="100" xfId="0" applyNumberFormat="1" applyFont="1" applyFill="1" applyBorder="1" applyAlignment="1">
      <alignment horizontal="center" vertical="center"/>
    </xf>
    <xf numFmtId="164" fontId="2" fillId="8" borderId="300" xfId="0" applyNumberFormat="1" applyFont="1" applyFill="1" applyBorder="1" applyAlignment="1">
      <alignment horizontal="center" vertical="center"/>
    </xf>
    <xf numFmtId="0" fontId="2" fillId="8" borderId="301" xfId="0" applyFont="1" applyFill="1" applyBorder="1" applyAlignment="1">
      <alignment horizontal="center" vertical="center"/>
    </xf>
    <xf numFmtId="0" fontId="2" fillId="8" borderId="302" xfId="0" applyFont="1" applyFill="1" applyBorder="1" applyAlignment="1">
      <alignment horizontal="center" vertical="center"/>
    </xf>
    <xf numFmtId="1" fontId="2" fillId="0" borderId="75" xfId="0" applyNumberFormat="1" applyFont="1" applyBorder="1" applyAlignment="1">
      <alignment horizontal="center" vertical="center"/>
    </xf>
    <xf numFmtId="0" fontId="2" fillId="0" borderId="66" xfId="0" applyFont="1" applyBorder="1" applyAlignment="1">
      <alignment horizontal="center" vertical="center"/>
    </xf>
    <xf numFmtId="0" fontId="2" fillId="0" borderId="67" xfId="0" applyFont="1" applyBorder="1" applyAlignment="1">
      <alignment horizontal="center" vertical="center"/>
    </xf>
    <xf numFmtId="1" fontId="2" fillId="8" borderId="75" xfId="0" applyNumberFormat="1" applyFont="1" applyFill="1" applyBorder="1" applyAlignment="1">
      <alignment horizontal="center" vertical="center" wrapText="1"/>
    </xf>
    <xf numFmtId="1" fontId="2" fillId="8" borderId="66" xfId="0" applyNumberFormat="1" applyFont="1" applyFill="1" applyBorder="1" applyAlignment="1">
      <alignment horizontal="center" vertical="center" wrapText="1"/>
    </xf>
    <xf numFmtId="1" fontId="2" fillId="8" borderId="67" xfId="0" applyNumberFormat="1" applyFont="1" applyFill="1" applyBorder="1" applyAlignment="1">
      <alignment horizontal="center" vertical="center" wrapText="1"/>
    </xf>
    <xf numFmtId="7" fontId="2" fillId="8" borderId="299" xfId="1" applyNumberFormat="1" applyFont="1" applyFill="1" applyBorder="1" applyAlignment="1">
      <alignment horizontal="center" vertical="center"/>
    </xf>
    <xf numFmtId="7" fontId="2" fillId="8" borderId="287" xfId="1" applyNumberFormat="1" applyFont="1" applyFill="1" applyBorder="1" applyAlignment="1">
      <alignment horizontal="center" vertical="center"/>
    </xf>
    <xf numFmtId="7" fontId="2" fillId="8" borderId="288" xfId="1" applyNumberFormat="1" applyFont="1" applyFill="1" applyBorder="1" applyAlignment="1">
      <alignment horizontal="center" vertical="center"/>
    </xf>
    <xf numFmtId="5" fontId="2" fillId="8" borderId="299" xfId="0" applyNumberFormat="1" applyFont="1" applyFill="1" applyBorder="1" applyAlignment="1">
      <alignment horizontal="center" vertical="center"/>
    </xf>
    <xf numFmtId="0" fontId="2" fillId="8" borderId="287" xfId="0" applyFont="1" applyFill="1" applyBorder="1" applyAlignment="1">
      <alignment horizontal="center" vertical="center"/>
    </xf>
    <xf numFmtId="0" fontId="2" fillId="8" borderId="288" xfId="0" applyFont="1" applyFill="1" applyBorder="1" applyAlignment="1">
      <alignment horizontal="center" vertical="center"/>
    </xf>
    <xf numFmtId="7" fontId="2" fillId="8" borderId="286" xfId="1" applyNumberFormat="1" applyFont="1" applyFill="1" applyBorder="1" applyAlignment="1">
      <alignment horizontal="center" vertical="center"/>
    </xf>
    <xf numFmtId="7" fontId="2" fillId="8" borderId="304" xfId="1" applyNumberFormat="1" applyFont="1" applyFill="1" applyBorder="1" applyAlignment="1">
      <alignment horizontal="center" vertical="center"/>
    </xf>
    <xf numFmtId="7" fontId="2" fillId="8" borderId="305" xfId="1" applyNumberFormat="1" applyFont="1" applyFill="1" applyBorder="1" applyAlignment="1">
      <alignment horizontal="center" vertical="center"/>
    </xf>
    <xf numFmtId="7" fontId="2" fillId="8" borderId="306" xfId="1" applyNumberFormat="1" applyFont="1" applyFill="1" applyBorder="1" applyAlignment="1">
      <alignment horizontal="center" vertical="center"/>
    </xf>
    <xf numFmtId="0" fontId="60" fillId="6" borderId="75" xfId="0" applyFont="1" applyFill="1" applyBorder="1" applyAlignment="1">
      <alignment horizontal="center" vertical="center"/>
    </xf>
    <xf numFmtId="0" fontId="60" fillId="6" borderId="66" xfId="0" applyFont="1" applyFill="1" applyBorder="1" applyAlignment="1">
      <alignment horizontal="center" vertical="center"/>
    </xf>
    <xf numFmtId="0" fontId="60" fillId="6" borderId="67" xfId="0" applyFont="1" applyFill="1" applyBorder="1" applyAlignment="1">
      <alignment horizontal="center" vertical="center"/>
    </xf>
    <xf numFmtId="1" fontId="2" fillId="6" borderId="75" xfId="2" applyNumberFormat="1" applyFont="1" applyFill="1" applyBorder="1" applyAlignment="1">
      <alignment horizontal="center" vertical="center"/>
    </xf>
    <xf numFmtId="1" fontId="2" fillId="6" borderId="66" xfId="2" applyNumberFormat="1" applyFont="1" applyFill="1" applyBorder="1" applyAlignment="1">
      <alignment horizontal="center" vertical="center"/>
    </xf>
    <xf numFmtId="1" fontId="2" fillId="6" borderId="67" xfId="2" applyNumberFormat="1" applyFont="1" applyFill="1" applyBorder="1" applyAlignment="1">
      <alignment horizontal="center" vertical="center"/>
    </xf>
    <xf numFmtId="0" fontId="4" fillId="2" borderId="208" xfId="0" applyFont="1" applyFill="1" applyBorder="1" applyAlignment="1">
      <alignment horizontal="center"/>
    </xf>
    <xf numFmtId="0" fontId="4" fillId="2" borderId="0" xfId="0" applyFont="1" applyFill="1" applyBorder="1" applyAlignment="1">
      <alignment horizontal="center"/>
    </xf>
    <xf numFmtId="0" fontId="4" fillId="2" borderId="48" xfId="0" applyFont="1" applyFill="1" applyBorder="1" applyAlignment="1">
      <alignment horizontal="center"/>
    </xf>
    <xf numFmtId="0" fontId="4" fillId="2" borderId="57" xfId="0" applyFont="1" applyFill="1" applyBorder="1" applyAlignment="1">
      <alignment horizontal="center"/>
    </xf>
    <xf numFmtId="0" fontId="4" fillId="2" borderId="8" xfId="0" applyFont="1" applyFill="1" applyBorder="1" applyAlignment="1">
      <alignment horizontal="center"/>
    </xf>
    <xf numFmtId="0" fontId="22" fillId="9" borderId="0" xfId="0" applyFont="1" applyFill="1" applyAlignment="1">
      <alignment horizontal="center" wrapText="1"/>
    </xf>
    <xf numFmtId="165" fontId="2" fillId="8" borderId="29" xfId="0" applyNumberFormat="1" applyFont="1" applyFill="1" applyBorder="1" applyAlignment="1">
      <alignment horizontal="center" vertical="center"/>
    </xf>
    <xf numFmtId="165" fontId="2" fillId="8" borderId="34" xfId="0" applyNumberFormat="1" applyFont="1" applyFill="1" applyBorder="1" applyAlignment="1">
      <alignment horizontal="center" vertical="center"/>
    </xf>
    <xf numFmtId="165" fontId="2" fillId="8" borderId="30" xfId="0" applyNumberFormat="1" applyFont="1" applyFill="1" applyBorder="1" applyAlignment="1">
      <alignment horizontal="center" vertical="center"/>
    </xf>
    <xf numFmtId="165" fontId="5" fillId="6" borderId="13" xfId="0" applyNumberFormat="1" applyFont="1" applyFill="1" applyBorder="1" applyAlignment="1">
      <alignment horizontal="center" vertical="center"/>
    </xf>
    <xf numFmtId="165" fontId="5" fillId="6" borderId="16" xfId="0" applyNumberFormat="1" applyFont="1" applyFill="1" applyBorder="1" applyAlignment="1">
      <alignment horizontal="center" vertical="center"/>
    </xf>
    <xf numFmtId="165" fontId="5" fillId="6" borderId="26" xfId="0" applyNumberFormat="1" applyFont="1" applyFill="1" applyBorder="1" applyAlignment="1">
      <alignment horizontal="center" vertical="center"/>
    </xf>
    <xf numFmtId="0" fontId="4" fillId="2" borderId="50" xfId="0" applyFont="1" applyFill="1" applyBorder="1" applyAlignment="1">
      <alignment horizontal="center" vertical="center"/>
    </xf>
    <xf numFmtId="0" fontId="4" fillId="2" borderId="209" xfId="0" applyFont="1" applyFill="1" applyBorder="1" applyAlignment="1">
      <alignment horizontal="center" vertical="center"/>
    </xf>
    <xf numFmtId="0" fontId="2" fillId="8" borderId="9" xfId="0" applyFont="1" applyFill="1" applyBorder="1" applyAlignment="1">
      <alignment horizontal="center" vertical="center"/>
    </xf>
    <xf numFmtId="0" fontId="2" fillId="8" borderId="39" xfId="0" applyFont="1" applyFill="1" applyBorder="1" applyAlignment="1">
      <alignment horizontal="center" vertical="center"/>
    </xf>
    <xf numFmtId="0" fontId="2" fillId="8" borderId="31" xfId="0" applyFont="1" applyFill="1" applyBorder="1" applyAlignment="1">
      <alignment horizontal="center" vertical="center"/>
    </xf>
    <xf numFmtId="0" fontId="4" fillId="18" borderId="0" xfId="0" applyFont="1" applyFill="1" applyBorder="1" applyAlignment="1">
      <alignment horizontal="center" vertical="center" wrapText="1"/>
    </xf>
    <xf numFmtId="0" fontId="4" fillId="18" borderId="4" xfId="0" applyFont="1" applyFill="1" applyBorder="1" applyAlignment="1">
      <alignment horizontal="center" vertical="center" wrapText="1"/>
    </xf>
    <xf numFmtId="0" fontId="49" fillId="18" borderId="14" xfId="0" applyFont="1" applyFill="1" applyBorder="1" applyAlignment="1">
      <alignment horizontal="center"/>
    </xf>
    <xf numFmtId="0" fontId="1" fillId="18" borderId="99" xfId="0" applyFont="1" applyFill="1" applyBorder="1" applyAlignment="1">
      <alignment horizontal="center"/>
    </xf>
    <xf numFmtId="1" fontId="5" fillId="8" borderId="185" xfId="2" applyNumberFormat="1" applyFont="1" applyFill="1" applyBorder="1" applyAlignment="1">
      <alignment horizontal="center" vertical="center"/>
    </xf>
    <xf numFmtId="1" fontId="5" fillId="8" borderId="186" xfId="2" applyNumberFormat="1" applyFont="1" applyFill="1" applyBorder="1" applyAlignment="1">
      <alignment horizontal="center" vertical="center"/>
    </xf>
    <xf numFmtId="9" fontId="2" fillId="8" borderId="184" xfId="2" applyFont="1" applyFill="1" applyBorder="1" applyAlignment="1">
      <alignment horizontal="center" vertical="center"/>
    </xf>
    <xf numFmtId="9" fontId="2" fillId="8" borderId="185" xfId="2" applyFont="1" applyFill="1" applyBorder="1" applyAlignment="1">
      <alignment horizontal="center" vertical="center"/>
    </xf>
    <xf numFmtId="0" fontId="5" fillId="8" borderId="16" xfId="0" applyFont="1" applyFill="1" applyBorder="1" applyAlignment="1">
      <alignment horizontal="center" vertical="center"/>
    </xf>
    <xf numFmtId="0" fontId="5" fillId="8" borderId="129" xfId="0" applyFont="1" applyFill="1" applyBorder="1" applyAlignment="1">
      <alignment horizontal="center" vertical="center"/>
    </xf>
    <xf numFmtId="9" fontId="2" fillId="8" borderId="13" xfId="0" applyNumberFormat="1" applyFont="1" applyFill="1" applyBorder="1" applyAlignment="1">
      <alignment horizontal="center" vertical="center" wrapText="1"/>
    </xf>
    <xf numFmtId="9" fontId="2" fillId="8" borderId="16" xfId="0" applyNumberFormat="1" applyFont="1" applyFill="1" applyBorder="1" applyAlignment="1">
      <alignment horizontal="center" vertical="center" wrapText="1"/>
    </xf>
    <xf numFmtId="165" fontId="5" fillId="6" borderId="56" xfId="0" applyNumberFormat="1" applyFont="1" applyFill="1" applyBorder="1" applyAlignment="1">
      <alignment horizontal="center" vertical="center"/>
    </xf>
    <xf numFmtId="165" fontId="5" fillId="6" borderId="15" xfId="0" applyNumberFormat="1" applyFont="1" applyFill="1" applyBorder="1" applyAlignment="1">
      <alignment horizontal="center" vertical="center"/>
    </xf>
    <xf numFmtId="165" fontId="5" fillId="6" borderId="27" xfId="0" applyNumberFormat="1" applyFont="1" applyFill="1" applyBorder="1" applyAlignment="1">
      <alignment horizontal="center" vertical="center"/>
    </xf>
    <xf numFmtId="6" fontId="5" fillId="6" borderId="52" xfId="2" applyNumberFormat="1" applyFont="1" applyFill="1" applyBorder="1" applyAlignment="1">
      <alignment horizontal="center" vertical="center"/>
    </xf>
    <xf numFmtId="6" fontId="5" fillId="6" borderId="51" xfId="2" applyNumberFormat="1" applyFont="1" applyFill="1" applyBorder="1" applyAlignment="1">
      <alignment horizontal="center" vertical="center"/>
    </xf>
    <xf numFmtId="6" fontId="5" fillId="6" borderId="53" xfId="2" applyNumberFormat="1" applyFont="1" applyFill="1" applyBorder="1" applyAlignment="1">
      <alignment horizontal="center" vertical="center"/>
    </xf>
    <xf numFmtId="6" fontId="5" fillId="6" borderId="13" xfId="2" applyNumberFormat="1" applyFont="1" applyFill="1" applyBorder="1" applyAlignment="1">
      <alignment horizontal="center" vertical="center"/>
    </xf>
    <xf numFmtId="6" fontId="5" fillId="6" borderId="16" xfId="2" applyNumberFormat="1" applyFont="1" applyFill="1" applyBorder="1" applyAlignment="1">
      <alignment horizontal="center" vertical="center"/>
    </xf>
    <xf numFmtId="6" fontId="5" fillId="6" borderId="26" xfId="2" applyNumberFormat="1" applyFont="1" applyFill="1" applyBorder="1" applyAlignment="1">
      <alignment horizontal="center" vertical="center"/>
    </xf>
    <xf numFmtId="165" fontId="2" fillId="8" borderId="184" xfId="0" applyNumberFormat="1" applyFont="1" applyFill="1" applyBorder="1" applyAlignment="1">
      <alignment horizontal="center" vertical="center"/>
    </xf>
    <xf numFmtId="165" fontId="2" fillId="8" borderId="185" xfId="0" applyNumberFormat="1" applyFont="1" applyFill="1" applyBorder="1" applyAlignment="1">
      <alignment horizontal="center" vertical="center"/>
    </xf>
    <xf numFmtId="165" fontId="2" fillId="8" borderId="186" xfId="0" applyNumberFormat="1" applyFont="1" applyFill="1" applyBorder="1" applyAlignment="1">
      <alignment horizontal="center" vertical="center"/>
    </xf>
    <xf numFmtId="0" fontId="4" fillId="2" borderId="208" xfId="0" applyFont="1" applyFill="1" applyBorder="1" applyAlignment="1">
      <alignment horizontal="center" vertical="center"/>
    </xf>
    <xf numFmtId="0" fontId="4" fillId="2" borderId="127" xfId="0" applyFont="1" applyFill="1" applyBorder="1" applyAlignment="1">
      <alignment horizontal="center" vertical="center"/>
    </xf>
    <xf numFmtId="165" fontId="2" fillId="8" borderId="214" xfId="0" applyNumberFormat="1" applyFont="1" applyFill="1" applyBorder="1" applyAlignment="1">
      <alignment horizontal="center" vertical="center"/>
    </xf>
    <xf numFmtId="165" fontId="2" fillId="8" borderId="8" xfId="0" applyNumberFormat="1" applyFont="1" applyFill="1" applyBorder="1" applyAlignment="1">
      <alignment horizontal="center" vertical="center"/>
    </xf>
    <xf numFmtId="165" fontId="2" fillId="8" borderId="215" xfId="0" applyNumberFormat="1" applyFont="1" applyFill="1" applyBorder="1" applyAlignment="1">
      <alignment horizontal="center" vertical="center"/>
    </xf>
    <xf numFmtId="165" fontId="2" fillId="8" borderId="212" xfId="0" applyNumberFormat="1" applyFont="1" applyFill="1" applyBorder="1" applyAlignment="1">
      <alignment horizontal="center" vertical="center" wrapText="1"/>
    </xf>
    <xf numFmtId="165" fontId="2" fillId="8" borderId="210" xfId="0" applyNumberFormat="1" applyFont="1" applyFill="1" applyBorder="1" applyAlignment="1">
      <alignment horizontal="center" vertical="center" wrapText="1"/>
    </xf>
    <xf numFmtId="165" fontId="2" fillId="8" borderId="213" xfId="0" applyNumberFormat="1" applyFont="1" applyFill="1" applyBorder="1" applyAlignment="1">
      <alignment horizontal="center" vertical="center" wrapText="1"/>
    </xf>
    <xf numFmtId="0" fontId="4" fillId="2" borderId="0" xfId="0" applyFont="1" applyFill="1" applyBorder="1" applyAlignment="1">
      <alignment horizontal="center" vertical="center"/>
    </xf>
    <xf numFmtId="0" fontId="4" fillId="2" borderId="4" xfId="0" applyFont="1" applyFill="1" applyBorder="1" applyAlignment="1">
      <alignment horizontal="center" vertical="center"/>
    </xf>
    <xf numFmtId="164" fontId="2" fillId="8" borderId="13" xfId="0" applyNumberFormat="1" applyFont="1" applyFill="1" applyBorder="1" applyAlignment="1">
      <alignment horizontal="center" vertical="center"/>
    </xf>
    <xf numFmtId="164" fontId="2" fillId="8" borderId="16" xfId="0" applyNumberFormat="1" applyFont="1" applyFill="1" applyBorder="1" applyAlignment="1">
      <alignment horizontal="center" vertical="center"/>
    </xf>
    <xf numFmtId="164" fontId="2" fillId="8" borderId="26" xfId="0" applyNumberFormat="1" applyFont="1" applyFill="1" applyBorder="1" applyAlignment="1">
      <alignment horizontal="center" vertical="center"/>
    </xf>
    <xf numFmtId="0" fontId="22" fillId="4" borderId="0" xfId="0" applyFont="1" applyFill="1" applyAlignment="1">
      <alignment horizontal="center" wrapText="1"/>
    </xf>
    <xf numFmtId="0" fontId="4" fillId="2" borderId="0"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82" xfId="0" applyFont="1" applyFill="1" applyBorder="1" applyAlignment="1">
      <alignment horizontal="center"/>
    </xf>
    <xf numFmtId="0" fontId="4" fillId="2" borderId="73" xfId="0" applyFont="1" applyFill="1" applyBorder="1" applyAlignment="1">
      <alignment horizontal="center"/>
    </xf>
    <xf numFmtId="1" fontId="5" fillId="6" borderId="184" xfId="0" applyNumberFormat="1" applyFont="1" applyFill="1" applyBorder="1" applyAlignment="1">
      <alignment horizontal="center" vertical="center" wrapText="1"/>
    </xf>
    <xf numFmtId="1" fontId="5" fillId="6" borderId="185" xfId="0" applyNumberFormat="1" applyFont="1" applyFill="1" applyBorder="1" applyAlignment="1">
      <alignment horizontal="center" vertical="center" wrapText="1"/>
    </xf>
    <xf numFmtId="1" fontId="5" fillId="6" borderId="186" xfId="0" applyNumberFormat="1" applyFont="1" applyFill="1" applyBorder="1" applyAlignment="1">
      <alignment horizontal="center" vertical="center" wrapText="1"/>
    </xf>
    <xf numFmtId="0" fontId="2" fillId="8" borderId="11" xfId="0" applyFont="1" applyFill="1" applyBorder="1" applyAlignment="1">
      <alignment horizontal="center" vertical="center" wrapText="1"/>
    </xf>
    <xf numFmtId="0" fontId="2" fillId="8" borderId="15" xfId="0" applyFont="1" applyFill="1" applyBorder="1" applyAlignment="1">
      <alignment horizontal="center" vertical="center" wrapText="1"/>
    </xf>
    <xf numFmtId="0" fontId="2" fillId="8" borderId="39" xfId="0" applyFont="1" applyFill="1" applyBorder="1" applyAlignment="1">
      <alignment horizontal="center" vertical="center" wrapText="1"/>
    </xf>
    <xf numFmtId="0" fontId="2" fillId="8" borderId="31" xfId="0" applyFont="1" applyFill="1" applyBorder="1" applyAlignment="1">
      <alignment horizontal="center" vertical="center" wrapText="1"/>
    </xf>
    <xf numFmtId="9" fontId="5" fillId="6" borderId="13" xfId="0" applyNumberFormat="1" applyFont="1" applyFill="1" applyBorder="1" applyAlignment="1">
      <alignment horizontal="center" vertical="center" wrapText="1"/>
    </xf>
    <xf numFmtId="9" fontId="5" fillId="6" borderId="16" xfId="0" applyNumberFormat="1" applyFont="1" applyFill="1" applyBorder="1" applyAlignment="1">
      <alignment horizontal="center" vertical="center" wrapText="1"/>
    </xf>
    <xf numFmtId="9" fontId="5" fillId="6" borderId="26" xfId="0" applyNumberFormat="1" applyFont="1" applyFill="1" applyBorder="1" applyAlignment="1">
      <alignment horizontal="center" vertical="center" wrapText="1"/>
    </xf>
    <xf numFmtId="9" fontId="5" fillId="6" borderId="29" xfId="0" applyNumberFormat="1" applyFont="1" applyFill="1" applyBorder="1" applyAlignment="1">
      <alignment horizontal="center" vertical="center" wrapText="1"/>
    </xf>
    <xf numFmtId="9" fontId="5" fillId="6" borderId="34" xfId="0" applyNumberFormat="1" applyFont="1" applyFill="1" applyBorder="1" applyAlignment="1">
      <alignment horizontal="center" vertical="center" wrapText="1"/>
    </xf>
    <xf numFmtId="9" fontId="5" fillId="6" borderId="30" xfId="0" applyNumberFormat="1" applyFont="1" applyFill="1" applyBorder="1" applyAlignment="1">
      <alignment horizontal="center" vertical="center" wrapText="1"/>
    </xf>
    <xf numFmtId="165" fontId="2" fillId="8" borderId="81" xfId="0" applyNumberFormat="1" applyFont="1" applyFill="1" applyBorder="1" applyAlignment="1">
      <alignment horizontal="center" vertical="center" wrapText="1"/>
    </xf>
    <xf numFmtId="165" fontId="2" fillId="8" borderId="22" xfId="0" applyNumberFormat="1" applyFont="1" applyFill="1" applyBorder="1" applyAlignment="1">
      <alignment horizontal="center" vertical="center" wrapText="1"/>
    </xf>
    <xf numFmtId="165" fontId="2" fillId="8" borderId="187" xfId="0" applyNumberFormat="1" applyFont="1" applyFill="1" applyBorder="1" applyAlignment="1">
      <alignment horizontal="center" vertical="center" wrapText="1"/>
    </xf>
    <xf numFmtId="165" fontId="2" fillId="8" borderId="13" xfId="0" applyNumberFormat="1" applyFont="1" applyFill="1" applyBorder="1" applyAlignment="1">
      <alignment horizontal="center" vertical="center"/>
    </xf>
    <xf numFmtId="165" fontId="2" fillId="8" borderId="16" xfId="0" applyNumberFormat="1" applyFont="1" applyFill="1" applyBorder="1" applyAlignment="1">
      <alignment horizontal="center" vertical="center"/>
    </xf>
    <xf numFmtId="165" fontId="2" fillId="8" borderId="26" xfId="0" applyNumberFormat="1" applyFont="1" applyFill="1" applyBorder="1" applyAlignment="1">
      <alignment horizontal="center" vertical="center"/>
    </xf>
    <xf numFmtId="0" fontId="4" fillId="2" borderId="7" xfId="0" applyFont="1" applyFill="1" applyBorder="1" applyAlignment="1">
      <alignment horizontal="center"/>
    </xf>
    <xf numFmtId="165" fontId="2" fillId="8" borderId="13" xfId="0" applyNumberFormat="1" applyFont="1" applyFill="1" applyBorder="1" applyAlignment="1">
      <alignment horizontal="center" vertical="center" wrapText="1"/>
    </xf>
    <xf numFmtId="165" fontId="2" fillId="8" borderId="16" xfId="0" applyNumberFormat="1" applyFont="1" applyFill="1" applyBorder="1" applyAlignment="1">
      <alignment horizontal="center" vertical="center" wrapText="1"/>
    </xf>
    <xf numFmtId="165" fontId="2" fillId="8" borderId="26" xfId="0" applyNumberFormat="1"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83" xfId="0" applyFont="1" applyFill="1" applyBorder="1" applyAlignment="1">
      <alignment horizontal="center"/>
    </xf>
    <xf numFmtId="0" fontId="4" fillId="2" borderId="6" xfId="0" applyFont="1" applyFill="1" applyBorder="1" applyAlignment="1">
      <alignment horizontal="center"/>
    </xf>
    <xf numFmtId="165" fontId="5" fillId="6" borderId="11" xfId="0" applyNumberFormat="1" applyFont="1" applyFill="1" applyBorder="1" applyAlignment="1">
      <alignment horizontal="center" vertical="center"/>
    </xf>
    <xf numFmtId="1" fontId="5" fillId="6" borderId="52" xfId="0" applyNumberFormat="1" applyFont="1" applyFill="1" applyBorder="1" applyAlignment="1">
      <alignment horizontal="center" vertical="center" wrapText="1"/>
    </xf>
    <xf numFmtId="1" fontId="5" fillId="6" borderId="51" xfId="0" applyNumberFormat="1" applyFont="1" applyFill="1" applyBorder="1" applyAlignment="1">
      <alignment horizontal="center" vertical="center" wrapText="1"/>
    </xf>
    <xf numFmtId="1" fontId="5" fillId="6" borderId="53" xfId="0" applyNumberFormat="1" applyFont="1" applyFill="1" applyBorder="1" applyAlignment="1">
      <alignment horizontal="center" vertical="center" wrapText="1"/>
    </xf>
    <xf numFmtId="0" fontId="36" fillId="4" borderId="0" xfId="0" applyFont="1" applyFill="1" applyAlignment="1">
      <alignment horizontal="center" wrapText="1"/>
    </xf>
    <xf numFmtId="165" fontId="2" fillId="8" borderId="81" xfId="0" applyNumberFormat="1" applyFont="1" applyFill="1" applyBorder="1" applyAlignment="1">
      <alignment horizontal="center" vertical="center"/>
    </xf>
    <xf numFmtId="165" fontId="2" fillId="8" borderId="22" xfId="0" applyNumberFormat="1" applyFont="1" applyFill="1" applyBorder="1" applyAlignment="1">
      <alignment horizontal="center" vertical="center"/>
    </xf>
    <xf numFmtId="165" fontId="2" fillId="8" borderId="187" xfId="0" applyNumberFormat="1" applyFont="1" applyFill="1" applyBorder="1" applyAlignment="1">
      <alignment horizontal="center" vertical="center"/>
    </xf>
    <xf numFmtId="1" fontId="2" fillId="6" borderId="13" xfId="0" applyNumberFormat="1" applyFont="1" applyFill="1" applyBorder="1" applyAlignment="1">
      <alignment horizontal="center" vertical="center" wrapText="1"/>
    </xf>
    <xf numFmtId="1" fontId="2" fillId="6" borderId="16" xfId="0" applyNumberFormat="1" applyFont="1" applyFill="1" applyBorder="1" applyAlignment="1">
      <alignment horizontal="center" vertical="center" wrapText="1"/>
    </xf>
    <xf numFmtId="1" fontId="2" fillId="6" borderId="26" xfId="0" applyNumberFormat="1" applyFont="1" applyFill="1" applyBorder="1" applyAlignment="1">
      <alignment horizontal="center" vertical="center" wrapText="1"/>
    </xf>
    <xf numFmtId="9" fontId="14" fillId="8" borderId="13" xfId="0" applyNumberFormat="1" applyFont="1" applyFill="1" applyBorder="1" applyAlignment="1">
      <alignment horizontal="center" vertical="center"/>
    </xf>
    <xf numFmtId="9" fontId="14" fillId="8" borderId="16" xfId="0" applyNumberFormat="1" applyFont="1" applyFill="1" applyBorder="1" applyAlignment="1">
      <alignment horizontal="center" vertical="center"/>
    </xf>
    <xf numFmtId="9" fontId="14" fillId="8" borderId="26" xfId="0" applyNumberFormat="1" applyFont="1" applyFill="1" applyBorder="1" applyAlignment="1">
      <alignment horizontal="center" vertical="center"/>
    </xf>
    <xf numFmtId="164" fontId="2" fillId="8" borderId="52" xfId="0" applyNumberFormat="1" applyFont="1" applyFill="1" applyBorder="1" applyAlignment="1">
      <alignment horizontal="center" vertical="center"/>
    </xf>
    <xf numFmtId="164" fontId="2" fillId="8" borderId="51" xfId="0" applyNumberFormat="1" applyFont="1" applyFill="1" applyBorder="1" applyAlignment="1">
      <alignment horizontal="center" vertical="center"/>
    </xf>
    <xf numFmtId="164" fontId="2" fillId="8" borderId="53" xfId="0" applyNumberFormat="1" applyFont="1" applyFill="1" applyBorder="1" applyAlignment="1">
      <alignment horizontal="center" vertical="center"/>
    </xf>
    <xf numFmtId="0" fontId="2" fillId="8" borderId="27" xfId="0" applyFont="1" applyFill="1" applyBorder="1" applyAlignment="1">
      <alignment horizontal="center" vertical="center" wrapText="1"/>
    </xf>
    <xf numFmtId="9" fontId="14" fillId="6" borderId="29" xfId="0" applyNumberFormat="1" applyFont="1" applyFill="1" applyBorder="1" applyAlignment="1">
      <alignment horizontal="center" vertical="center" wrapText="1"/>
    </xf>
    <xf numFmtId="9" fontId="14" fillId="6" borderId="34" xfId="0" applyNumberFormat="1" applyFont="1" applyFill="1" applyBorder="1" applyAlignment="1">
      <alignment horizontal="center" vertical="center" wrapText="1"/>
    </xf>
    <xf numFmtId="9" fontId="14" fillId="6" borderId="30" xfId="0" applyNumberFormat="1" applyFont="1" applyFill="1" applyBorder="1" applyAlignment="1">
      <alignment horizontal="center" vertical="center" wrapText="1"/>
    </xf>
    <xf numFmtId="0" fontId="2" fillId="8" borderId="13" xfId="0" applyFont="1" applyFill="1" applyBorder="1" applyAlignment="1">
      <alignment horizontal="center" vertical="center" wrapText="1"/>
    </xf>
    <xf numFmtId="0" fontId="2" fillId="8" borderId="16" xfId="0" applyFont="1" applyFill="1" applyBorder="1" applyAlignment="1">
      <alignment horizontal="center" vertical="center" wrapText="1"/>
    </xf>
    <xf numFmtId="0" fontId="2" fillId="8" borderId="26" xfId="0" applyFont="1" applyFill="1" applyBorder="1" applyAlignment="1">
      <alignment horizontal="center" vertical="center" wrapText="1"/>
    </xf>
    <xf numFmtId="0" fontId="4" fillId="2" borderId="6" xfId="0" applyFont="1" applyFill="1" applyBorder="1" applyAlignment="1">
      <alignment horizontal="center" vertical="center"/>
    </xf>
    <xf numFmtId="0" fontId="36" fillId="4" borderId="0" xfId="0" applyFont="1" applyFill="1" applyBorder="1" applyAlignment="1">
      <alignment horizontal="center"/>
    </xf>
    <xf numFmtId="0" fontId="4" fillId="2" borderId="5" xfId="0" applyFont="1" applyFill="1" applyBorder="1" applyAlignment="1">
      <alignment horizontal="center"/>
    </xf>
    <xf numFmtId="0" fontId="4" fillId="2" borderId="46" xfId="0" applyFont="1" applyFill="1" applyBorder="1" applyAlignment="1">
      <alignment horizontal="center"/>
    </xf>
    <xf numFmtId="0" fontId="3" fillId="5" borderId="0" xfId="0" applyFont="1" applyFill="1" applyBorder="1" applyAlignment="1">
      <alignment horizontal="center" vertical="center"/>
    </xf>
    <xf numFmtId="0" fontId="4" fillId="2" borderId="83" xfId="0" applyFont="1" applyFill="1" applyBorder="1" applyAlignment="1">
      <alignment horizontal="center"/>
    </xf>
    <xf numFmtId="0" fontId="4" fillId="2" borderId="138" xfId="0" applyFont="1" applyFill="1" applyBorder="1" applyAlignment="1">
      <alignment horizontal="center"/>
    </xf>
    <xf numFmtId="0" fontId="4" fillId="2" borderId="127" xfId="0" applyFont="1" applyFill="1" applyBorder="1" applyAlignment="1">
      <alignment horizontal="center"/>
    </xf>
    <xf numFmtId="0" fontId="47" fillId="4" borderId="88" xfId="5" applyFont="1" applyFill="1" applyBorder="1" applyAlignment="1">
      <alignment horizontal="center"/>
    </xf>
    <xf numFmtId="165" fontId="18" fillId="8" borderId="15" xfId="0" applyNumberFormat="1" applyFont="1" applyFill="1" applyBorder="1" applyAlignment="1">
      <alignment horizontal="center" vertical="center"/>
    </xf>
    <xf numFmtId="0" fontId="4" fillId="2" borderId="15" xfId="0" applyFont="1" applyFill="1" applyBorder="1" applyAlignment="1">
      <alignment horizontal="center" vertical="center"/>
    </xf>
    <xf numFmtId="165" fontId="18" fillId="8" borderId="218" xfId="0" applyNumberFormat="1" applyFont="1" applyFill="1" applyBorder="1" applyAlignment="1">
      <alignment horizontal="center" vertical="center"/>
    </xf>
    <xf numFmtId="165" fontId="18" fillId="8" borderId="185" xfId="0" applyNumberFormat="1" applyFont="1" applyFill="1" applyBorder="1" applyAlignment="1">
      <alignment horizontal="center" vertical="center"/>
    </xf>
    <xf numFmtId="165" fontId="18" fillId="8" borderId="219" xfId="0" applyNumberFormat="1" applyFont="1" applyFill="1" applyBorder="1" applyAlignment="1">
      <alignment horizontal="center" vertical="center"/>
    </xf>
    <xf numFmtId="0" fontId="8" fillId="19" borderId="226" xfId="0" applyFont="1" applyFill="1" applyBorder="1" applyAlignment="1">
      <alignment horizontal="center" vertical="center" wrapText="1"/>
    </xf>
    <xf numFmtId="0" fontId="8" fillId="19" borderId="227" xfId="0" applyFont="1" applyFill="1" applyBorder="1" applyAlignment="1">
      <alignment horizontal="center" vertical="center" wrapText="1"/>
    </xf>
    <xf numFmtId="0" fontId="2" fillId="19" borderId="237" xfId="0" applyFont="1" applyFill="1" applyBorder="1" applyAlignment="1">
      <alignment horizontal="center" vertical="center" wrapText="1"/>
    </xf>
    <xf numFmtId="0" fontId="7" fillId="19" borderId="238" xfId="0" applyFont="1" applyFill="1" applyBorder="1" applyAlignment="1">
      <alignment horizontal="center" vertical="center" wrapText="1"/>
    </xf>
    <xf numFmtId="0" fontId="7" fillId="19" borderId="230" xfId="0" applyFont="1" applyFill="1" applyBorder="1" applyAlignment="1">
      <alignment horizontal="center" vertical="center" wrapText="1"/>
    </xf>
    <xf numFmtId="0" fontId="4" fillId="2" borderId="220" xfId="0" applyFont="1" applyFill="1" applyBorder="1" applyAlignment="1">
      <alignment horizontal="center"/>
    </xf>
    <xf numFmtId="0" fontId="4" fillId="2" borderId="99" xfId="0" applyFont="1" applyFill="1" applyBorder="1" applyAlignment="1">
      <alignment horizontal="center"/>
    </xf>
    <xf numFmtId="0" fontId="51" fillId="19" borderId="229" xfId="0" applyFont="1" applyFill="1" applyBorder="1" applyAlignment="1">
      <alignment horizontal="center" vertical="center" wrapText="1"/>
    </xf>
    <xf numFmtId="0" fontId="51" fillId="19" borderId="230"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8" fillId="19" borderId="229" xfId="0" applyFont="1" applyFill="1" applyBorder="1" applyAlignment="1">
      <alignment horizontal="center" vertical="center" wrapText="1"/>
    </xf>
    <xf numFmtId="0" fontId="8" fillId="19" borderId="152" xfId="0" applyFont="1" applyFill="1" applyBorder="1" applyAlignment="1">
      <alignment horizontal="center" vertical="center" wrapText="1"/>
    </xf>
    <xf numFmtId="0" fontId="52" fillId="19" borderId="235" xfId="0" applyFont="1" applyFill="1" applyBorder="1" applyAlignment="1">
      <alignment horizontal="center" vertical="center" wrapText="1"/>
    </xf>
    <xf numFmtId="0" fontId="52" fillId="19" borderId="173" xfId="0" applyFont="1" applyFill="1" applyBorder="1" applyAlignment="1">
      <alignment horizontal="center" vertical="center" wrapText="1"/>
    </xf>
    <xf numFmtId="0" fontId="2" fillId="19" borderId="88" xfId="0" applyFont="1" applyFill="1" applyBorder="1" applyAlignment="1">
      <alignment horizontal="center"/>
    </xf>
    <xf numFmtId="0" fontId="0" fillId="19" borderId="88" xfId="0" applyFill="1" applyBorder="1" applyAlignment="1">
      <alignment horizontal="center"/>
    </xf>
    <xf numFmtId="0" fontId="3" fillId="11" borderId="0" xfId="0" applyFont="1" applyFill="1" applyAlignment="1">
      <alignment horizontal="center" vertical="center"/>
    </xf>
    <xf numFmtId="0" fontId="4" fillId="2" borderId="127" xfId="0" applyFont="1" applyFill="1" applyBorder="1" applyAlignment="1">
      <alignment horizontal="center" vertical="center" wrapText="1"/>
    </xf>
    <xf numFmtId="1" fontId="50" fillId="4" borderId="0" xfId="5" applyNumberFormat="1" applyFont="1" applyFill="1" applyAlignment="1">
      <alignment horizontal="center" wrapText="1"/>
    </xf>
    <xf numFmtId="0" fontId="24" fillId="19" borderId="0" xfId="0" applyFont="1" applyFill="1" applyAlignment="1">
      <alignment horizontal="center" vertical="center" wrapText="1"/>
    </xf>
    <xf numFmtId="0" fontId="2" fillId="14" borderId="0" xfId="0" applyFont="1" applyFill="1" applyAlignment="1">
      <alignment horizontal="center"/>
    </xf>
    <xf numFmtId="0" fontId="7" fillId="14" borderId="0" xfId="0" applyFont="1" applyFill="1" applyAlignment="1">
      <alignment horizontal="center"/>
    </xf>
    <xf numFmtId="0" fontId="17" fillId="8" borderId="0" xfId="0" applyFont="1" applyFill="1" applyAlignment="1">
      <alignment horizontal="center"/>
    </xf>
    <xf numFmtId="0" fontId="28" fillId="8" borderId="0" xfId="0" applyFont="1" applyFill="1" applyAlignment="1">
      <alignment horizontal="center"/>
    </xf>
    <xf numFmtId="0" fontId="28" fillId="8" borderId="0" xfId="0" applyFont="1" applyFill="1" applyAlignment="1">
      <alignment horizontal="center" wrapText="1"/>
    </xf>
    <xf numFmtId="0" fontId="0" fillId="0" borderId="0" xfId="0" applyAlignment="1">
      <alignment horizontal="center" vertical="center"/>
    </xf>
    <xf numFmtId="0" fontId="0" fillId="8" borderId="0" xfId="0" applyFill="1" applyAlignment="1">
      <alignment horizontal="center" wrapText="1"/>
    </xf>
    <xf numFmtId="0" fontId="0" fillId="6" borderId="0" xfId="0" applyFill="1" applyAlignment="1">
      <alignment horizontal="center"/>
    </xf>
    <xf numFmtId="0" fontId="48" fillId="11" borderId="0" xfId="0" applyFont="1" applyFill="1" applyAlignment="1">
      <alignment horizontal="center" vertical="center"/>
    </xf>
    <xf numFmtId="0" fontId="46" fillId="4" borderId="0" xfId="5" applyFont="1" applyFill="1" applyBorder="1" applyAlignment="1">
      <alignment horizontal="center" vertical="center"/>
    </xf>
    <xf numFmtId="0" fontId="45" fillId="4" borderId="0" xfId="5" applyFill="1" applyBorder="1" applyAlignment="1">
      <alignment horizontal="center" vertical="center"/>
    </xf>
    <xf numFmtId="0" fontId="4" fillId="2" borderId="124" xfId="0" applyFont="1" applyFill="1" applyBorder="1" applyAlignment="1">
      <alignment horizontal="center"/>
    </xf>
    <xf numFmtId="0" fontId="4" fillId="18" borderId="0" xfId="0" applyFont="1" applyFill="1" applyBorder="1" applyAlignment="1">
      <alignment horizontal="center"/>
    </xf>
    <xf numFmtId="0" fontId="0" fillId="18" borderId="0" xfId="0" applyFill="1" applyBorder="1" applyAlignment="1">
      <alignment horizontal="center"/>
    </xf>
    <xf numFmtId="0" fontId="43" fillId="11" borderId="0" xfId="0" applyFont="1" applyFill="1" applyAlignment="1">
      <alignment horizontal="center"/>
    </xf>
    <xf numFmtId="0" fontId="24" fillId="19" borderId="0" xfId="0" applyFont="1" applyFill="1" applyAlignment="1">
      <alignment horizontal="center" wrapText="1"/>
    </xf>
    <xf numFmtId="0" fontId="7" fillId="8" borderId="0" xfId="0" applyFont="1" applyFill="1" applyAlignment="1">
      <alignment horizontal="center"/>
    </xf>
    <xf numFmtId="0" fontId="15" fillId="14" borderId="0" xfId="0" applyFont="1" applyFill="1" applyAlignment="1">
      <alignment horizontal="center"/>
    </xf>
    <xf numFmtId="0" fontId="1" fillId="14" borderId="0" xfId="0" applyFont="1" applyFill="1" applyAlignment="1">
      <alignment horizontal="center"/>
    </xf>
    <xf numFmtId="0" fontId="7" fillId="17" borderId="0" xfId="0" applyFont="1" applyFill="1" applyAlignment="1">
      <alignment horizontal="center"/>
    </xf>
    <xf numFmtId="0" fontId="2" fillId="15" borderId="0" xfId="0" applyFont="1" applyFill="1" applyAlignment="1">
      <alignment horizontal="center"/>
    </xf>
    <xf numFmtId="0" fontId="2" fillId="17" borderId="0" xfId="0" applyFont="1" applyFill="1" applyAlignment="1">
      <alignment horizontal="center"/>
    </xf>
    <xf numFmtId="0" fontId="24" fillId="10" borderId="0" xfId="0" applyFont="1" applyFill="1" applyAlignment="1">
      <alignment horizontal="center"/>
    </xf>
    <xf numFmtId="0" fontId="0" fillId="10" borderId="0" xfId="0" applyFill="1" applyAlignment="1">
      <alignment horizontal="center"/>
    </xf>
    <xf numFmtId="0" fontId="7" fillId="15" borderId="0" xfId="0" applyFont="1" applyFill="1" applyAlignment="1">
      <alignment horizontal="center"/>
    </xf>
    <xf numFmtId="0" fontId="1" fillId="6" borderId="0" xfId="0" applyFont="1" applyFill="1" applyBorder="1" applyAlignment="1">
      <alignment horizontal="center"/>
    </xf>
    <xf numFmtId="0" fontId="1" fillId="6" borderId="0" xfId="0" applyFont="1" applyFill="1" applyAlignment="1">
      <alignment horizontal="center"/>
    </xf>
    <xf numFmtId="0" fontId="1" fillId="0" borderId="0" xfId="0" applyFont="1" applyAlignment="1">
      <alignment horizontal="center"/>
    </xf>
    <xf numFmtId="0" fontId="1" fillId="0" borderId="4" xfId="0" applyFont="1" applyBorder="1" applyAlignment="1">
      <alignment horizontal="center"/>
    </xf>
    <xf numFmtId="0" fontId="1" fillId="21" borderId="4" xfId="0" applyFont="1" applyFill="1" applyBorder="1" applyAlignment="1">
      <alignment horizontal="center"/>
    </xf>
    <xf numFmtId="0" fontId="2" fillId="21" borderId="0" xfId="0" applyFont="1" applyFill="1" applyAlignment="1">
      <alignment horizontal="center"/>
    </xf>
    <xf numFmtId="0" fontId="2" fillId="22" borderId="0" xfId="0" applyFont="1" applyFill="1" applyAlignment="1">
      <alignment horizontal="center"/>
    </xf>
    <xf numFmtId="0" fontId="0" fillId="0" borderId="0" xfId="0" applyAlignment="1">
      <alignment horizontal="center"/>
    </xf>
    <xf numFmtId="1" fontId="0" fillId="6" borderId="307" xfId="0" applyNumberFormat="1" applyFont="1" applyFill="1" applyBorder="1" applyAlignment="1">
      <alignment horizontal="center"/>
    </xf>
    <xf numFmtId="1" fontId="0" fillId="6" borderId="308" xfId="0" applyNumberFormat="1" applyFont="1" applyFill="1" applyBorder="1" applyAlignment="1">
      <alignment horizontal="center"/>
    </xf>
    <xf numFmtId="1" fontId="0" fillId="6" borderId="312" xfId="0" applyNumberFormat="1" applyFont="1" applyFill="1" applyBorder="1" applyAlignment="1">
      <alignment horizontal="center"/>
    </xf>
    <xf numFmtId="1" fontId="0" fillId="6" borderId="313" xfId="0" applyNumberFormat="1" applyFont="1" applyFill="1" applyBorder="1" applyAlignment="1">
      <alignment horizontal="center"/>
    </xf>
    <xf numFmtId="0" fontId="1" fillId="21" borderId="0" xfId="0" applyFont="1" applyFill="1" applyBorder="1" applyAlignment="1">
      <alignment horizontal="center"/>
    </xf>
    <xf numFmtId="0" fontId="7" fillId="21" borderId="0" xfId="0" applyFont="1" applyFill="1" applyAlignment="1">
      <alignment horizontal="center"/>
    </xf>
    <xf numFmtId="0" fontId="1" fillId="0" borderId="309" xfId="0" applyFont="1" applyBorder="1" applyAlignment="1">
      <alignment horizontal="center"/>
    </xf>
    <xf numFmtId="0" fontId="1" fillId="22" borderId="4" xfId="0" applyFont="1" applyFill="1" applyBorder="1" applyAlignment="1">
      <alignment horizontal="center"/>
    </xf>
    <xf numFmtId="0" fontId="1" fillId="0" borderId="310" xfId="0" applyFont="1" applyBorder="1" applyAlignment="1">
      <alignment horizontal="center"/>
    </xf>
    <xf numFmtId="0" fontId="0" fillId="0" borderId="0" xfId="0" applyAlignment="1">
      <alignment horizontal="center" wrapText="1"/>
    </xf>
  </cellXfs>
  <cellStyles count="6">
    <cellStyle name="Comma" xfId="3" builtinId="3"/>
    <cellStyle name="Currency" xfId="1" builtinId="4"/>
    <cellStyle name="Hyperlink" xfId="5" builtinId="8"/>
    <cellStyle name="Normal" xfId="0" builtinId="0"/>
    <cellStyle name="Normal 2" xfId="4"/>
    <cellStyle name="Percent" xfId="2" builtinId="5"/>
  </cellStyles>
  <dxfs count="27">
    <dxf>
      <font>
        <b/>
        <i val="0"/>
        <color auto="1"/>
      </font>
    </dxf>
    <dxf>
      <font>
        <b/>
        <i val="0"/>
        <color rgb="FFFF0000"/>
      </font>
    </dxf>
    <dxf>
      <font>
        <b/>
        <i val="0"/>
        <color rgb="FFFF0000"/>
      </font>
    </dxf>
    <dxf>
      <font>
        <b/>
        <i val="0"/>
        <strike val="0"/>
      </font>
      <numFmt numFmtId="174" formatCode="0.00;[Red]0.00"/>
    </dxf>
    <dxf>
      <font>
        <b/>
        <i val="0"/>
        <color rgb="FFFF0000"/>
      </font>
    </dxf>
    <dxf>
      <font>
        <b/>
        <i val="0"/>
        <color rgb="FFFF0000"/>
      </font>
    </dxf>
    <dxf>
      <font>
        <b/>
        <i val="0"/>
        <color rgb="FFFF0000"/>
      </font>
    </dxf>
    <dxf>
      <font>
        <b/>
        <i val="0"/>
        <strike val="0"/>
      </font>
      <numFmt numFmtId="174" formatCode="0.00;[Red]0.00"/>
    </dxf>
    <dxf>
      <font>
        <b/>
        <i val="0"/>
        <color rgb="FFFF0000"/>
      </font>
    </dxf>
    <dxf>
      <font>
        <b/>
        <i val="0"/>
        <color rgb="FFFF0000"/>
      </font>
    </dxf>
    <dxf>
      <font>
        <b/>
        <i val="0"/>
        <color auto="1"/>
      </font>
    </dxf>
    <dxf>
      <font>
        <b/>
        <i val="0"/>
        <color rgb="FFFF0000"/>
      </font>
    </dxf>
    <dxf>
      <font>
        <b/>
        <i val="0"/>
        <color rgb="FFFF0000"/>
      </font>
    </dxf>
    <dxf>
      <font>
        <b/>
        <i val="0"/>
        <strike val="0"/>
      </font>
      <numFmt numFmtId="174" formatCode="0.00;[Red]0.00"/>
    </dxf>
    <dxf>
      <font>
        <b/>
        <i val="0"/>
        <color rgb="FFFF0000"/>
      </font>
    </dxf>
    <dxf>
      <font>
        <b/>
        <i val="0"/>
        <color rgb="FFFF0000"/>
      </font>
    </dxf>
    <dxf>
      <font>
        <b/>
        <i val="0"/>
        <color rgb="FFFF0000"/>
      </font>
    </dxf>
    <dxf>
      <font>
        <b/>
        <i val="0"/>
        <strike val="0"/>
      </font>
      <numFmt numFmtId="174" formatCode="0.00;[Red]0.00"/>
    </dxf>
    <dxf>
      <font>
        <b/>
        <i val="0"/>
        <color rgb="FFFF0000"/>
      </font>
    </dxf>
    <dxf>
      <font>
        <b/>
        <i val="0"/>
        <color rgb="FFFF0000"/>
      </font>
    </dxf>
    <dxf>
      <font>
        <color rgb="FF9C0006"/>
      </font>
    </dxf>
    <dxf>
      <font>
        <b/>
        <i val="0"/>
        <color rgb="FFFF0000"/>
      </font>
    </dxf>
    <dxf>
      <font>
        <color rgb="FF9C0006"/>
      </font>
    </dxf>
    <dxf>
      <font>
        <b/>
        <i val="0"/>
        <color rgb="FFFF0000"/>
      </font>
    </dxf>
    <dxf>
      <font>
        <b/>
        <i val="0"/>
        <color rgb="FFFF0000"/>
      </font>
    </dxf>
    <dxf>
      <font>
        <b/>
        <i val="0"/>
      </font>
    </dxf>
    <dxf>
      <font>
        <b/>
        <i val="0"/>
        <color rgb="FFFF0000"/>
      </font>
    </dxf>
  </dxfs>
  <tableStyles count="0" defaultTableStyle="TableStyleMedium2" defaultPivotStyle="PivotStyleLight16"/>
  <colors>
    <mruColors>
      <color rgb="FF294A71"/>
      <color rgb="FFF79646"/>
      <color rgb="FF0099FF"/>
      <color rgb="FFCCECFF"/>
      <color rgb="FFCCFFFF"/>
      <color rgb="FF99CCFF"/>
      <color rgb="FF33CCFF"/>
      <color rgb="FF315887"/>
      <color rgb="FF66CCFF"/>
      <color rgb="FF1F375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Comparison between the Current Total Program Costs (discounted) and Min Number of Outcomes Averted (discounted) per</a:t>
            </a:r>
            <a:r>
              <a:rPr lang="en-US" baseline="0"/>
              <a:t> </a:t>
            </a:r>
            <a:r>
              <a:rPr lang="en-US"/>
              <a:t>Intervention Type</a:t>
            </a:r>
          </a:p>
        </c:rich>
      </c:tx>
      <c:layout/>
      <c:overlay val="1"/>
    </c:title>
    <c:autoTitleDeleted val="0"/>
    <c:plotArea>
      <c:layout>
        <c:manualLayout>
          <c:layoutTarget val="inner"/>
          <c:xMode val="edge"/>
          <c:yMode val="edge"/>
          <c:x val="0.18094256017350582"/>
          <c:y val="0.17619217286451253"/>
          <c:w val="0.65156474190726155"/>
          <c:h val="0.46097213664769104"/>
        </c:manualLayout>
      </c:layout>
      <c:barChart>
        <c:barDir val="col"/>
        <c:grouping val="clustered"/>
        <c:varyColors val="0"/>
        <c:ser>
          <c:idx val="0"/>
          <c:order val="0"/>
          <c:tx>
            <c:strRef>
              <c:f>Display!$H$3</c:f>
              <c:strCache>
                <c:ptCount val="1"/>
                <c:pt idx="0">
                  <c:v>Program Cost</c:v>
                </c:pt>
              </c:strCache>
            </c:strRef>
          </c:tx>
          <c:spPr>
            <a:solidFill>
              <a:srgbClr val="33CCFF"/>
            </a:solidFill>
            <a:ln cmpd="sng">
              <a:solidFill>
                <a:schemeClr val="tx1">
                  <a:lumMod val="95000"/>
                  <a:lumOff val="5000"/>
                </a:schemeClr>
              </a:solidFill>
              <a:prstDash val="solid"/>
            </a:ln>
          </c:spPr>
          <c:invertIfNegative val="0"/>
          <c:cat>
            <c:strRef>
              <c:f>Display!$B$4:$B$8</c:f>
              <c:strCache>
                <c:ptCount val="5"/>
                <c:pt idx="0">
                  <c:v>Water Fluoridation</c:v>
                </c:pt>
                <c:pt idx="1">
                  <c:v>Dental Sealants</c:v>
                </c:pt>
                <c:pt idx="2">
                  <c:v>Varnish Applications</c:v>
                </c:pt>
                <c:pt idx="3">
                  <c:v>Toothbrush/Toothpaste</c:v>
                </c:pt>
                <c:pt idx="4">
                  <c:v>Initial Exam</c:v>
                </c:pt>
              </c:strCache>
            </c:strRef>
          </c:cat>
          <c:val>
            <c:numRef>
              <c:f>Display!$H$4:$H$8</c:f>
              <c:numCache>
                <c:formatCode>"$"#,##0_);[Red]\("$"#,##0\)</c:formatCode>
                <c:ptCount val="5"/>
                <c:pt idx="0">
                  <c:v>154609.92641656191</c:v>
                </c:pt>
                <c:pt idx="1">
                  <c:v>105945.11923275581</c:v>
                </c:pt>
                <c:pt idx="2">
                  <c:v>536747.27527988527</c:v>
                </c:pt>
                <c:pt idx="3">
                  <c:v>531559.5897736859</c:v>
                </c:pt>
                <c:pt idx="4">
                  <c:v>92559.183733173704</c:v>
                </c:pt>
              </c:numCache>
            </c:numRef>
          </c:val>
        </c:ser>
        <c:dLbls>
          <c:showLegendKey val="0"/>
          <c:showVal val="0"/>
          <c:showCatName val="0"/>
          <c:showSerName val="0"/>
          <c:showPercent val="0"/>
          <c:showBubbleSize val="0"/>
        </c:dLbls>
        <c:gapWidth val="370"/>
        <c:axId val="7431080"/>
        <c:axId val="215272888"/>
      </c:barChart>
      <c:barChart>
        <c:barDir val="col"/>
        <c:grouping val="clustered"/>
        <c:varyColors val="0"/>
        <c:ser>
          <c:idx val="1"/>
          <c:order val="1"/>
          <c:tx>
            <c:strRef>
              <c:f>Display!$I$3</c:f>
              <c:strCache>
                <c:ptCount val="1"/>
                <c:pt idx="0">
                  <c:v>Caries Averted (min)</c:v>
                </c:pt>
              </c:strCache>
            </c:strRef>
          </c:tx>
          <c:spPr>
            <a:noFill/>
            <a:ln cmpd="tri">
              <a:solidFill>
                <a:schemeClr val="tx1">
                  <a:lumMod val="95000"/>
                  <a:lumOff val="5000"/>
                </a:schemeClr>
              </a:solidFill>
              <a:prstDash val="solid"/>
            </a:ln>
          </c:spPr>
          <c:invertIfNegative val="0"/>
          <c:cat>
            <c:strRef>
              <c:f>Display!$B$4:$B$8</c:f>
              <c:strCache>
                <c:ptCount val="5"/>
                <c:pt idx="0">
                  <c:v>Water Fluoridation</c:v>
                </c:pt>
                <c:pt idx="1">
                  <c:v>Dental Sealants</c:v>
                </c:pt>
                <c:pt idx="2">
                  <c:v>Varnish Applications</c:v>
                </c:pt>
                <c:pt idx="3">
                  <c:v>Toothbrush/Toothpaste</c:v>
                </c:pt>
                <c:pt idx="4">
                  <c:v>Initial Exam</c:v>
                </c:pt>
              </c:strCache>
            </c:strRef>
          </c:cat>
          <c:val>
            <c:numRef>
              <c:f>Display!$I$4:$I$8</c:f>
              <c:numCache>
                <c:formatCode>#,##0</c:formatCode>
                <c:ptCount val="5"/>
                <c:pt idx="0">
                  <c:v>1163.4175032641897</c:v>
                </c:pt>
                <c:pt idx="1">
                  <c:v>341.9832853016373</c:v>
                </c:pt>
                <c:pt idx="2">
                  <c:v>1136.6368403588783</c:v>
                </c:pt>
                <c:pt idx="3">
                  <c:v>1432.5366737996228</c:v>
                </c:pt>
                <c:pt idx="4">
                  <c:v>171.66597588944163</c:v>
                </c:pt>
              </c:numCache>
            </c:numRef>
          </c:val>
        </c:ser>
        <c:ser>
          <c:idx val="2"/>
          <c:order val="2"/>
          <c:tx>
            <c:v>Full Mouth Dental Reconstructions Averted (min)</c:v>
          </c:tx>
          <c:invertIfNegative val="0"/>
          <c:cat>
            <c:strRef>
              <c:f>Display!$B$4:$B$8</c:f>
              <c:strCache>
                <c:ptCount val="5"/>
                <c:pt idx="0">
                  <c:v>Water Fluoridation</c:v>
                </c:pt>
                <c:pt idx="1">
                  <c:v>Dental Sealants</c:v>
                </c:pt>
                <c:pt idx="2">
                  <c:v>Varnish Applications</c:v>
                </c:pt>
                <c:pt idx="3">
                  <c:v>Toothbrush/Toothpaste</c:v>
                </c:pt>
                <c:pt idx="4">
                  <c:v>Initial Exam</c:v>
                </c:pt>
              </c:strCache>
            </c:strRef>
          </c:cat>
          <c:val>
            <c:numRef>
              <c:f>Display!$K$4:$K$8</c:f>
              <c:numCache>
                <c:formatCode>#,##0</c:formatCode>
                <c:ptCount val="5"/>
                <c:pt idx="0">
                  <c:v>128.8240839240265</c:v>
                </c:pt>
                <c:pt idx="1">
                  <c:v>37.867475195023118</c:v>
                </c:pt>
                <c:pt idx="2">
                  <c:v>125.85868727495146</c:v>
                </c:pt>
                <c:pt idx="3">
                  <c:v>158.62338685126494</c:v>
                </c:pt>
                <c:pt idx="4">
                  <c:v>19.00840585845949</c:v>
                </c:pt>
              </c:numCache>
            </c:numRef>
          </c:val>
        </c:ser>
        <c:dLbls>
          <c:showLegendKey val="0"/>
          <c:showVal val="0"/>
          <c:showCatName val="0"/>
          <c:showSerName val="0"/>
          <c:showPercent val="0"/>
          <c:showBubbleSize val="0"/>
        </c:dLbls>
        <c:gapWidth val="180"/>
        <c:overlap val="-100"/>
        <c:axId val="129004032"/>
        <c:axId val="7388696"/>
      </c:barChart>
      <c:catAx>
        <c:axId val="7431080"/>
        <c:scaling>
          <c:orientation val="minMax"/>
        </c:scaling>
        <c:delete val="0"/>
        <c:axPos val="b"/>
        <c:title>
          <c:tx>
            <c:rich>
              <a:bodyPr/>
              <a:lstStyle/>
              <a:p>
                <a:pPr>
                  <a:defRPr/>
                </a:pPr>
                <a:r>
                  <a:rPr lang="en-US"/>
                  <a:t>Intervention Types</a:t>
                </a:r>
              </a:p>
            </c:rich>
          </c:tx>
          <c:layout/>
          <c:overlay val="0"/>
        </c:title>
        <c:numFmt formatCode="General" sourceLinked="0"/>
        <c:majorTickMark val="none"/>
        <c:minorTickMark val="none"/>
        <c:tickLblPos val="nextTo"/>
        <c:crossAx val="215272888"/>
        <c:crosses val="autoZero"/>
        <c:auto val="1"/>
        <c:lblAlgn val="ctr"/>
        <c:lblOffset val="100"/>
        <c:noMultiLvlLbl val="0"/>
      </c:catAx>
      <c:valAx>
        <c:axId val="215272888"/>
        <c:scaling>
          <c:orientation val="minMax"/>
        </c:scaling>
        <c:delete val="0"/>
        <c:axPos val="l"/>
        <c:title>
          <c:tx>
            <c:rich>
              <a:bodyPr rot="-5400000" vert="horz"/>
              <a:lstStyle/>
              <a:p>
                <a:pPr>
                  <a:defRPr/>
                </a:pPr>
                <a:r>
                  <a:rPr lang="en-US"/>
                  <a:t>Program Costs (discounted for timeframe)</a:t>
                </a:r>
              </a:p>
            </c:rich>
          </c:tx>
          <c:layout>
            <c:manualLayout>
              <c:xMode val="edge"/>
              <c:yMode val="edge"/>
              <c:x val="3.8848428736052001E-2"/>
              <c:y val="0.17247802246295707"/>
            </c:manualLayout>
          </c:layout>
          <c:overlay val="0"/>
        </c:title>
        <c:numFmt formatCode="&quot;$&quot;#,##0_);[Red]\(&quot;$&quot;#,##0\)" sourceLinked="1"/>
        <c:majorTickMark val="none"/>
        <c:minorTickMark val="none"/>
        <c:tickLblPos val="nextTo"/>
        <c:crossAx val="7431080"/>
        <c:crosses val="autoZero"/>
        <c:crossBetween val="between"/>
      </c:valAx>
      <c:valAx>
        <c:axId val="7388696"/>
        <c:scaling>
          <c:orientation val="minMax"/>
        </c:scaling>
        <c:delete val="0"/>
        <c:axPos val="r"/>
        <c:title>
          <c:tx>
            <c:rich>
              <a:bodyPr rot="-5400000" vert="horz"/>
              <a:lstStyle/>
              <a:p>
                <a:pPr>
                  <a:defRPr/>
                </a:pPr>
                <a:r>
                  <a:rPr lang="en-US"/>
                  <a:t>Outcomes Averted (min effectiveness)</a:t>
                </a:r>
              </a:p>
            </c:rich>
          </c:tx>
          <c:layout>
            <c:manualLayout>
              <c:xMode val="edge"/>
              <c:yMode val="edge"/>
              <c:x val="0.9197002154665942"/>
              <c:y val="0.20744133763253869"/>
            </c:manualLayout>
          </c:layout>
          <c:overlay val="0"/>
        </c:title>
        <c:numFmt formatCode="#,##0" sourceLinked="1"/>
        <c:majorTickMark val="out"/>
        <c:minorTickMark val="none"/>
        <c:tickLblPos val="nextTo"/>
        <c:crossAx val="129004032"/>
        <c:crosses val="max"/>
        <c:crossBetween val="between"/>
      </c:valAx>
      <c:catAx>
        <c:axId val="129004032"/>
        <c:scaling>
          <c:orientation val="minMax"/>
        </c:scaling>
        <c:delete val="1"/>
        <c:axPos val="b"/>
        <c:numFmt formatCode="General" sourceLinked="1"/>
        <c:majorTickMark val="out"/>
        <c:minorTickMark val="none"/>
        <c:tickLblPos val="nextTo"/>
        <c:crossAx val="7388696"/>
        <c:crosses val="autoZero"/>
        <c:auto val="1"/>
        <c:lblAlgn val="ctr"/>
        <c:lblOffset val="100"/>
        <c:noMultiLvlLbl val="0"/>
      </c:catAx>
    </c:plotArea>
    <c:legend>
      <c:legendPos val="r"/>
      <c:layout>
        <c:manualLayout>
          <c:xMode val="edge"/>
          <c:yMode val="edge"/>
          <c:x val="0.721583552055993"/>
          <c:y val="0.77425196461670343"/>
          <c:w val="0.278416447944007"/>
          <c:h val="0.22085997541864913"/>
        </c:manualLayout>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a:lstStyle/>
          <a:p>
            <a:pPr>
              <a:defRPr/>
            </a:pPr>
            <a:r>
              <a:rPr lang="en-US"/>
              <a:t>Number of Caries &amp; Procedures w/n Current &amp; Ideal Populations</a:t>
            </a:r>
          </a:p>
        </c:rich>
      </c:tx>
      <c:overlay val="0"/>
    </c:title>
    <c:autoTitleDeleted val="0"/>
    <c:plotArea>
      <c:layout>
        <c:manualLayout>
          <c:layoutTarget val="inner"/>
          <c:xMode val="edge"/>
          <c:yMode val="edge"/>
          <c:x val="0.10009858859385697"/>
          <c:y val="0.23690255760300219"/>
          <c:w val="0.70787243337702055"/>
          <c:h val="0.3506102053665921"/>
        </c:manualLayout>
      </c:layout>
      <c:barChart>
        <c:barDir val="col"/>
        <c:grouping val="clustered"/>
        <c:varyColors val="0"/>
        <c:ser>
          <c:idx val="0"/>
          <c:order val="0"/>
          <c:tx>
            <c:strRef>
              <c:f>Display!$C$3</c:f>
              <c:strCache>
                <c:ptCount val="1"/>
                <c:pt idx="0">
                  <c:v>Curent Caries</c:v>
                </c:pt>
              </c:strCache>
            </c:strRef>
          </c:tx>
          <c:spPr>
            <a:solidFill>
              <a:schemeClr val="tx1">
                <a:lumMod val="65000"/>
                <a:lumOff val="35000"/>
              </a:schemeClr>
            </a:solidFill>
          </c:spPr>
          <c:invertIfNegative val="0"/>
          <c:dPt>
            <c:idx val="3"/>
            <c:invertIfNegative val="0"/>
            <c:bubble3D val="0"/>
            <c:spPr>
              <a:solidFill>
                <a:schemeClr val="tx1">
                  <a:lumMod val="65000"/>
                  <a:lumOff val="35000"/>
                </a:schemeClr>
              </a:solidFill>
              <a:ln>
                <a:solidFill>
                  <a:schemeClr val="tx1"/>
                </a:solidFill>
              </a:ln>
            </c:spPr>
          </c:dPt>
          <c:cat>
            <c:strRef>
              <c:f>Display!$B$4:$B$8</c:f>
              <c:strCache>
                <c:ptCount val="5"/>
                <c:pt idx="0">
                  <c:v>Water Fluoridation</c:v>
                </c:pt>
                <c:pt idx="1">
                  <c:v>Dental Sealants</c:v>
                </c:pt>
                <c:pt idx="2">
                  <c:v>Varnish Applications</c:v>
                </c:pt>
                <c:pt idx="3">
                  <c:v>Toothbrush/Toothpaste</c:v>
                </c:pt>
                <c:pt idx="4">
                  <c:v>Initial Exam</c:v>
                </c:pt>
              </c:strCache>
            </c:strRef>
          </c:cat>
          <c:val>
            <c:numRef>
              <c:f>Display!$C$4:$C$8</c:f>
              <c:numCache>
                <c:formatCode>0</c:formatCode>
                <c:ptCount val="5"/>
                <c:pt idx="0">
                  <c:v>136.38802330097087</c:v>
                </c:pt>
                <c:pt idx="1">
                  <c:v>40.090873786407769</c:v>
                </c:pt>
                <c:pt idx="2">
                  <c:v>133.24851262135923</c:v>
                </c:pt>
                <c:pt idx="3">
                  <c:v>167.93700000000004</c:v>
                </c:pt>
                <c:pt idx="4">
                  <c:v>20.124489320388353</c:v>
                </c:pt>
              </c:numCache>
            </c:numRef>
          </c:val>
        </c:ser>
        <c:ser>
          <c:idx val="1"/>
          <c:order val="1"/>
          <c:tx>
            <c:strRef>
              <c:f>Display!$D$3</c:f>
              <c:strCache>
                <c:ptCount val="1"/>
                <c:pt idx="0">
                  <c:v>Ideal Caries</c:v>
                </c:pt>
              </c:strCache>
            </c:strRef>
          </c:tx>
          <c:invertIfNegative val="0"/>
          <c:cat>
            <c:strRef>
              <c:f>Display!$B$4:$B$8</c:f>
              <c:strCache>
                <c:ptCount val="5"/>
                <c:pt idx="0">
                  <c:v>Water Fluoridation</c:v>
                </c:pt>
                <c:pt idx="1">
                  <c:v>Dental Sealants</c:v>
                </c:pt>
                <c:pt idx="2">
                  <c:v>Varnish Applications</c:v>
                </c:pt>
                <c:pt idx="3">
                  <c:v>Toothbrush/Toothpaste</c:v>
                </c:pt>
                <c:pt idx="4">
                  <c:v>Initial Exam</c:v>
                </c:pt>
              </c:strCache>
            </c:strRef>
          </c:cat>
          <c:val>
            <c:numRef>
              <c:f>Display!$D$4:$D$8</c:f>
              <c:numCache>
                <c:formatCode>0</c:formatCode>
                <c:ptCount val="5"/>
                <c:pt idx="0">
                  <c:v>258.24169320388353</c:v>
                </c:pt>
                <c:pt idx="1">
                  <c:v>412.93599999999998</c:v>
                </c:pt>
                <c:pt idx="2">
                  <c:v>261.71999999999997</c:v>
                </c:pt>
                <c:pt idx="3">
                  <c:v>305.33999999999997</c:v>
                </c:pt>
                <c:pt idx="4">
                  <c:v>249.07161165048544</c:v>
                </c:pt>
              </c:numCache>
            </c:numRef>
          </c:val>
        </c:ser>
        <c:dLbls>
          <c:showLegendKey val="0"/>
          <c:showVal val="0"/>
          <c:showCatName val="0"/>
          <c:showSerName val="0"/>
          <c:showPercent val="0"/>
          <c:showBubbleSize val="0"/>
        </c:dLbls>
        <c:gapWidth val="150"/>
        <c:axId val="215170304"/>
        <c:axId val="215994456"/>
      </c:barChart>
      <c:barChart>
        <c:barDir val="col"/>
        <c:grouping val="clustered"/>
        <c:varyColors val="0"/>
        <c:ser>
          <c:idx val="2"/>
          <c:order val="2"/>
          <c:tx>
            <c:strRef>
              <c:f>Display!$E$3</c:f>
              <c:strCache>
                <c:ptCount val="1"/>
                <c:pt idx="0">
                  <c:v>Current Procedures</c:v>
                </c:pt>
              </c:strCache>
            </c:strRef>
          </c:tx>
          <c:spPr>
            <a:noFill/>
            <a:ln>
              <a:solidFill>
                <a:schemeClr val="tx1"/>
              </a:solidFill>
            </a:ln>
          </c:spPr>
          <c:invertIfNegative val="0"/>
          <c:cat>
            <c:strRef>
              <c:f>Display!$B$4:$B$8</c:f>
              <c:strCache>
                <c:ptCount val="5"/>
                <c:pt idx="0">
                  <c:v>Water Fluoridation</c:v>
                </c:pt>
                <c:pt idx="1">
                  <c:v>Dental Sealants</c:v>
                </c:pt>
                <c:pt idx="2">
                  <c:v>Varnish Applications</c:v>
                </c:pt>
                <c:pt idx="3">
                  <c:v>Toothbrush/Toothpaste</c:v>
                </c:pt>
                <c:pt idx="4">
                  <c:v>Initial Exam</c:v>
                </c:pt>
              </c:strCache>
            </c:strRef>
          </c:cat>
          <c:val>
            <c:numRef>
              <c:f>Display!$E$4:$E$8</c:f>
              <c:numCache>
                <c:formatCode>0</c:formatCode>
                <c:ptCount val="5"/>
                <c:pt idx="0">
                  <c:v>15.102112621359224</c:v>
                </c:pt>
                <c:pt idx="1">
                  <c:v>4.4392233009708741</c:v>
                </c:pt>
                <c:pt idx="2">
                  <c:v>14.754477669902911</c:v>
                </c:pt>
                <c:pt idx="3">
                  <c:v>18.595500000000001</c:v>
                </c:pt>
                <c:pt idx="4">
                  <c:v>2.2283650485436897</c:v>
                </c:pt>
              </c:numCache>
            </c:numRef>
          </c:val>
        </c:ser>
        <c:ser>
          <c:idx val="3"/>
          <c:order val="3"/>
          <c:tx>
            <c:strRef>
              <c:f>Display!$F$3</c:f>
              <c:strCache>
                <c:ptCount val="1"/>
                <c:pt idx="0">
                  <c:v>Ideal Procedures</c:v>
                </c:pt>
              </c:strCache>
            </c:strRef>
          </c:tx>
          <c:spPr>
            <a:solidFill>
              <a:schemeClr val="tx1"/>
            </a:solidFill>
          </c:spPr>
          <c:invertIfNegative val="0"/>
          <c:cat>
            <c:strRef>
              <c:f>Display!$B$4:$B$8</c:f>
              <c:strCache>
                <c:ptCount val="5"/>
                <c:pt idx="0">
                  <c:v>Water Fluoridation</c:v>
                </c:pt>
                <c:pt idx="1">
                  <c:v>Dental Sealants</c:v>
                </c:pt>
                <c:pt idx="2">
                  <c:v>Varnish Applications</c:v>
                </c:pt>
                <c:pt idx="3">
                  <c:v>Toothbrush/Toothpaste</c:v>
                </c:pt>
                <c:pt idx="4">
                  <c:v>Initial Exam</c:v>
                </c:pt>
              </c:strCache>
            </c:strRef>
          </c:cat>
          <c:val>
            <c:numRef>
              <c:f>Display!$F$4:$F$8</c:f>
              <c:numCache>
                <c:formatCode>0</c:formatCode>
                <c:ptCount val="5"/>
                <c:pt idx="0">
                  <c:v>28.594850485436897</c:v>
                </c:pt>
                <c:pt idx="1">
                  <c:v>45.723999999999997</c:v>
                </c:pt>
                <c:pt idx="2">
                  <c:v>28.98</c:v>
                </c:pt>
                <c:pt idx="3">
                  <c:v>33.81</c:v>
                </c:pt>
                <c:pt idx="4">
                  <c:v>27.579456310679614</c:v>
                </c:pt>
              </c:numCache>
            </c:numRef>
          </c:val>
        </c:ser>
        <c:dLbls>
          <c:showLegendKey val="0"/>
          <c:showVal val="0"/>
          <c:showCatName val="0"/>
          <c:showSerName val="0"/>
          <c:showPercent val="0"/>
          <c:showBubbleSize val="0"/>
        </c:dLbls>
        <c:gapWidth val="150"/>
        <c:axId val="215669288"/>
        <c:axId val="215834024"/>
      </c:barChart>
      <c:catAx>
        <c:axId val="215170304"/>
        <c:scaling>
          <c:orientation val="minMax"/>
        </c:scaling>
        <c:delete val="0"/>
        <c:axPos val="b"/>
        <c:title>
          <c:tx>
            <c:rich>
              <a:bodyPr/>
              <a:lstStyle/>
              <a:p>
                <a:pPr>
                  <a:defRPr/>
                </a:pPr>
                <a:r>
                  <a:rPr lang="en-US"/>
                  <a:t>Intervention Types</a:t>
                </a:r>
              </a:p>
            </c:rich>
          </c:tx>
          <c:overlay val="0"/>
        </c:title>
        <c:numFmt formatCode="General" sourceLinked="0"/>
        <c:majorTickMark val="none"/>
        <c:minorTickMark val="none"/>
        <c:tickLblPos val="nextTo"/>
        <c:crossAx val="215994456"/>
        <c:crosses val="autoZero"/>
        <c:auto val="1"/>
        <c:lblAlgn val="ctr"/>
        <c:lblOffset val="100"/>
        <c:noMultiLvlLbl val="0"/>
      </c:catAx>
      <c:valAx>
        <c:axId val="215994456"/>
        <c:scaling>
          <c:orientation val="minMax"/>
          <c:max val="30"/>
          <c:min val="0"/>
        </c:scaling>
        <c:delete val="0"/>
        <c:axPos val="l"/>
        <c:title>
          <c:tx>
            <c:rich>
              <a:bodyPr rot="-5400000" vert="horz"/>
              <a:lstStyle/>
              <a:p>
                <a:pPr>
                  <a:defRPr/>
                </a:pPr>
                <a:r>
                  <a:rPr lang="en-US"/>
                  <a:t>Number of Caries</a:t>
                </a:r>
              </a:p>
            </c:rich>
          </c:tx>
          <c:overlay val="0"/>
        </c:title>
        <c:numFmt formatCode="0" sourceLinked="1"/>
        <c:majorTickMark val="none"/>
        <c:minorTickMark val="none"/>
        <c:tickLblPos val="nextTo"/>
        <c:crossAx val="215170304"/>
        <c:crosses val="autoZero"/>
        <c:crossBetween val="between"/>
        <c:majorUnit val="10"/>
        <c:minorUnit val="5"/>
      </c:valAx>
      <c:valAx>
        <c:axId val="215834024"/>
        <c:scaling>
          <c:orientation val="minMax"/>
        </c:scaling>
        <c:delete val="0"/>
        <c:axPos val="r"/>
        <c:title>
          <c:tx>
            <c:rich>
              <a:bodyPr rot="-5400000" vert="horz"/>
              <a:lstStyle/>
              <a:p>
                <a:pPr>
                  <a:defRPr/>
                </a:pPr>
                <a:r>
                  <a:rPr lang="en-US"/>
                  <a:t>Number of Procedures</a:t>
                </a:r>
              </a:p>
            </c:rich>
          </c:tx>
          <c:overlay val="0"/>
        </c:title>
        <c:numFmt formatCode="0" sourceLinked="1"/>
        <c:majorTickMark val="out"/>
        <c:minorTickMark val="none"/>
        <c:tickLblPos val="nextTo"/>
        <c:crossAx val="215669288"/>
        <c:crosses val="max"/>
        <c:crossBetween val="between"/>
      </c:valAx>
      <c:catAx>
        <c:axId val="215669288"/>
        <c:scaling>
          <c:orientation val="minMax"/>
        </c:scaling>
        <c:delete val="1"/>
        <c:axPos val="b"/>
        <c:numFmt formatCode="General" sourceLinked="1"/>
        <c:majorTickMark val="out"/>
        <c:minorTickMark val="none"/>
        <c:tickLblPos val="nextTo"/>
        <c:crossAx val="215834024"/>
        <c:crosses val="autoZero"/>
        <c:auto val="1"/>
        <c:lblAlgn val="ctr"/>
        <c:lblOffset val="100"/>
        <c:noMultiLvlLbl val="0"/>
      </c:catAx>
    </c:plotArea>
    <c:legend>
      <c:legendPos val="r"/>
      <c:layout>
        <c:manualLayout>
          <c:xMode val="edge"/>
          <c:yMode val="edge"/>
          <c:x val="0.82631716906946262"/>
          <c:y val="0.66392662042389661"/>
          <c:w val="0.16844036697247705"/>
          <c:h val="0.2675234917271494"/>
        </c:manualLayout>
      </c:layou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manualLayout>
          <c:layoutTarget val="inner"/>
          <c:xMode val="edge"/>
          <c:yMode val="edge"/>
          <c:x val="0.17662751531058618"/>
          <c:y val="0.17130810101050253"/>
          <c:w val="0.65156474190726155"/>
          <c:h val="0.46097213664769104"/>
        </c:manualLayout>
      </c:layout>
      <c:barChart>
        <c:barDir val="col"/>
        <c:grouping val="clustered"/>
        <c:varyColors val="0"/>
        <c:ser>
          <c:idx val="0"/>
          <c:order val="0"/>
          <c:tx>
            <c:strRef>
              <c:f>Display!$H$3</c:f>
              <c:strCache>
                <c:ptCount val="1"/>
                <c:pt idx="0">
                  <c:v>Program Cost</c:v>
                </c:pt>
              </c:strCache>
            </c:strRef>
          </c:tx>
          <c:spPr>
            <a:ln w="12700" cap="sq" cmpd="dbl">
              <a:solidFill>
                <a:schemeClr val="tx1">
                  <a:lumMod val="95000"/>
                  <a:lumOff val="5000"/>
                </a:schemeClr>
              </a:solidFill>
              <a:prstDash val="sysDash"/>
            </a:ln>
          </c:spPr>
          <c:invertIfNegative val="0"/>
          <c:cat>
            <c:strRef>
              <c:f>Display!$B$4:$B$8</c:f>
              <c:strCache>
                <c:ptCount val="5"/>
                <c:pt idx="0">
                  <c:v>Water Fluoridation</c:v>
                </c:pt>
                <c:pt idx="1">
                  <c:v>Dental Sealants</c:v>
                </c:pt>
                <c:pt idx="2">
                  <c:v>Varnish Applications</c:v>
                </c:pt>
                <c:pt idx="3">
                  <c:v>Toothbrush/Toothpaste</c:v>
                </c:pt>
                <c:pt idx="4">
                  <c:v>Initial Exam</c:v>
                </c:pt>
              </c:strCache>
            </c:strRef>
          </c:cat>
          <c:val>
            <c:numRef>
              <c:f>Display!$H$4:$H$8</c:f>
              <c:numCache>
                <c:formatCode>"$"#,##0_);[Red]\("$"#,##0\)</c:formatCode>
                <c:ptCount val="5"/>
                <c:pt idx="0">
                  <c:v>154609.92641656191</c:v>
                </c:pt>
                <c:pt idx="1">
                  <c:v>105945.11923275581</c:v>
                </c:pt>
                <c:pt idx="2">
                  <c:v>536747.27527988527</c:v>
                </c:pt>
                <c:pt idx="3">
                  <c:v>531559.5897736859</c:v>
                </c:pt>
                <c:pt idx="4">
                  <c:v>92559.183733173704</c:v>
                </c:pt>
              </c:numCache>
            </c:numRef>
          </c:val>
        </c:ser>
        <c:dLbls>
          <c:showLegendKey val="0"/>
          <c:showVal val="0"/>
          <c:showCatName val="0"/>
          <c:showSerName val="0"/>
          <c:showPercent val="0"/>
          <c:showBubbleSize val="0"/>
        </c:dLbls>
        <c:gapWidth val="150"/>
        <c:axId val="215922656"/>
        <c:axId val="215653968"/>
      </c:barChart>
      <c:barChart>
        <c:barDir val="col"/>
        <c:grouping val="clustered"/>
        <c:varyColors val="0"/>
        <c:ser>
          <c:idx val="1"/>
          <c:order val="1"/>
          <c:tx>
            <c:strRef>
              <c:f>Display!$I$3</c:f>
              <c:strCache>
                <c:ptCount val="1"/>
                <c:pt idx="0">
                  <c:v>Caries Averted (min)</c:v>
                </c:pt>
              </c:strCache>
            </c:strRef>
          </c:tx>
          <c:spPr>
            <a:solidFill>
              <a:schemeClr val="accent2"/>
            </a:solidFill>
          </c:spPr>
          <c:invertIfNegative val="0"/>
          <c:cat>
            <c:strRef>
              <c:f>Display!$B$4:$B$8</c:f>
              <c:strCache>
                <c:ptCount val="5"/>
                <c:pt idx="0">
                  <c:v>Water Fluoridation</c:v>
                </c:pt>
                <c:pt idx="1">
                  <c:v>Dental Sealants</c:v>
                </c:pt>
                <c:pt idx="2">
                  <c:v>Varnish Applications</c:v>
                </c:pt>
                <c:pt idx="3">
                  <c:v>Toothbrush/Toothpaste</c:v>
                </c:pt>
                <c:pt idx="4">
                  <c:v>Initial Exam</c:v>
                </c:pt>
              </c:strCache>
            </c:strRef>
          </c:cat>
          <c:val>
            <c:numRef>
              <c:f>Display!$I$4:$I$8</c:f>
              <c:numCache>
                <c:formatCode>#,##0</c:formatCode>
                <c:ptCount val="5"/>
                <c:pt idx="0">
                  <c:v>1163.4175032641897</c:v>
                </c:pt>
                <c:pt idx="1">
                  <c:v>341.9832853016373</c:v>
                </c:pt>
                <c:pt idx="2">
                  <c:v>1136.6368403588783</c:v>
                </c:pt>
                <c:pt idx="3">
                  <c:v>1432.5366737996228</c:v>
                </c:pt>
                <c:pt idx="4">
                  <c:v>171.66597588944163</c:v>
                </c:pt>
              </c:numCache>
            </c:numRef>
          </c:val>
        </c:ser>
        <c:ser>
          <c:idx val="2"/>
          <c:order val="2"/>
          <c:tx>
            <c:strRef>
              <c:f>Display!$K$3</c:f>
              <c:strCache>
                <c:ptCount val="1"/>
                <c:pt idx="0">
                  <c:v>FMDR (min)</c:v>
                </c:pt>
              </c:strCache>
            </c:strRef>
          </c:tx>
          <c:invertIfNegative val="0"/>
          <c:cat>
            <c:strRef>
              <c:f>Display!$B$4:$B$8</c:f>
              <c:strCache>
                <c:ptCount val="5"/>
                <c:pt idx="0">
                  <c:v>Water Fluoridation</c:v>
                </c:pt>
                <c:pt idx="1">
                  <c:v>Dental Sealants</c:v>
                </c:pt>
                <c:pt idx="2">
                  <c:v>Varnish Applications</c:v>
                </c:pt>
                <c:pt idx="3">
                  <c:v>Toothbrush/Toothpaste</c:v>
                </c:pt>
                <c:pt idx="4">
                  <c:v>Initial Exam</c:v>
                </c:pt>
              </c:strCache>
            </c:strRef>
          </c:cat>
          <c:val>
            <c:numRef>
              <c:f>Display!$K$4:$K$8</c:f>
              <c:numCache>
                <c:formatCode>#,##0</c:formatCode>
                <c:ptCount val="5"/>
                <c:pt idx="0">
                  <c:v>128.8240839240265</c:v>
                </c:pt>
                <c:pt idx="1">
                  <c:v>37.867475195023118</c:v>
                </c:pt>
                <c:pt idx="2">
                  <c:v>125.85868727495146</c:v>
                </c:pt>
                <c:pt idx="3">
                  <c:v>158.62338685126494</c:v>
                </c:pt>
                <c:pt idx="4">
                  <c:v>19.00840585845949</c:v>
                </c:pt>
              </c:numCache>
            </c:numRef>
          </c:val>
        </c:ser>
        <c:dLbls>
          <c:showLegendKey val="0"/>
          <c:showVal val="0"/>
          <c:showCatName val="0"/>
          <c:showSerName val="0"/>
          <c:showPercent val="0"/>
          <c:showBubbleSize val="0"/>
        </c:dLbls>
        <c:gapWidth val="150"/>
        <c:axId val="215654752"/>
        <c:axId val="215654360"/>
      </c:barChart>
      <c:catAx>
        <c:axId val="215922656"/>
        <c:scaling>
          <c:orientation val="minMax"/>
        </c:scaling>
        <c:delete val="0"/>
        <c:axPos val="b"/>
        <c:numFmt formatCode="General" sourceLinked="0"/>
        <c:majorTickMark val="none"/>
        <c:minorTickMark val="none"/>
        <c:tickLblPos val="nextTo"/>
        <c:crossAx val="215653968"/>
        <c:crosses val="autoZero"/>
        <c:auto val="1"/>
        <c:lblAlgn val="ctr"/>
        <c:lblOffset val="100"/>
        <c:noMultiLvlLbl val="0"/>
      </c:catAx>
      <c:valAx>
        <c:axId val="215653968"/>
        <c:scaling>
          <c:orientation val="minMax"/>
        </c:scaling>
        <c:delete val="0"/>
        <c:axPos val="l"/>
        <c:numFmt formatCode="&quot;$&quot;#,##0_);[Red]\(&quot;$&quot;#,##0\)" sourceLinked="1"/>
        <c:majorTickMark val="none"/>
        <c:minorTickMark val="none"/>
        <c:tickLblPos val="nextTo"/>
        <c:crossAx val="215922656"/>
        <c:crosses val="autoZero"/>
        <c:crossBetween val="between"/>
      </c:valAx>
      <c:valAx>
        <c:axId val="215654360"/>
        <c:scaling>
          <c:orientation val="minMax"/>
        </c:scaling>
        <c:delete val="0"/>
        <c:axPos val="r"/>
        <c:numFmt formatCode="#,##0" sourceLinked="1"/>
        <c:majorTickMark val="out"/>
        <c:minorTickMark val="none"/>
        <c:tickLblPos val="nextTo"/>
        <c:crossAx val="215654752"/>
        <c:crosses val="max"/>
        <c:crossBetween val="between"/>
      </c:valAx>
      <c:catAx>
        <c:axId val="215654752"/>
        <c:scaling>
          <c:orientation val="minMax"/>
        </c:scaling>
        <c:delete val="1"/>
        <c:axPos val="b"/>
        <c:numFmt formatCode="General" sourceLinked="1"/>
        <c:majorTickMark val="out"/>
        <c:minorTickMark val="none"/>
        <c:tickLblPos val="nextTo"/>
        <c:crossAx val="215654360"/>
        <c:crosses val="autoZero"/>
        <c:auto val="1"/>
        <c:lblAlgn val="ctr"/>
        <c:lblOffset val="100"/>
        <c:noMultiLvlLbl val="0"/>
      </c:catAx>
    </c:plotArea>
    <c:legend>
      <c:legendPos val="r"/>
      <c:layout>
        <c:manualLayout>
          <c:xMode val="edge"/>
          <c:yMode val="edge"/>
          <c:x val="0.721583552055993"/>
          <c:y val="0.70504077978148627"/>
          <c:w val="0.23282211674760167"/>
          <c:h val="0.29007116025386626"/>
        </c:manualLayout>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400"/>
              <a:t>Annual Number of Estimated Caries &amp; FMDRs treated on children</a:t>
            </a:r>
            <a:r>
              <a:rPr lang="en-US" sz="1400" baseline="0"/>
              <a:t>            </a:t>
            </a:r>
            <a:r>
              <a:rPr lang="en-US" sz="1400"/>
              <a:t>(6-60 months) per intervention type, during first year of program use </a:t>
            </a:r>
          </a:p>
        </c:rich>
      </c:tx>
      <c:overlay val="1"/>
    </c:title>
    <c:autoTitleDeleted val="0"/>
    <c:plotArea>
      <c:layout>
        <c:manualLayout>
          <c:layoutTarget val="inner"/>
          <c:xMode val="edge"/>
          <c:yMode val="edge"/>
          <c:x val="6.1618694285293353E-2"/>
          <c:y val="0.15060130676409084"/>
          <c:w val="0.93838130571470668"/>
          <c:h val="0.70423229191811521"/>
        </c:manualLayout>
      </c:layout>
      <c:barChart>
        <c:barDir val="col"/>
        <c:grouping val="clustered"/>
        <c:varyColors val="0"/>
        <c:ser>
          <c:idx val="0"/>
          <c:order val="0"/>
          <c:tx>
            <c:v>Current Caries</c:v>
          </c:tx>
          <c:spPr>
            <a:solidFill>
              <a:schemeClr val="tx1"/>
            </a:solidFill>
            <a:ln>
              <a:solidFill>
                <a:schemeClr val="tx1"/>
              </a:solidFill>
            </a:ln>
          </c:spPr>
          <c:invertIfNegative val="0"/>
          <c:dLbls>
            <c:spPr>
              <a:noFill/>
              <a:ln>
                <a:noFill/>
              </a:ln>
              <a:effectLst/>
            </c:spPr>
            <c:txPr>
              <a:bodyPr/>
              <a:lstStyle/>
              <a:p>
                <a:pPr>
                  <a:defRPr sz="6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Current_Health!$A$7:$A$11</c:f>
              <c:strCache>
                <c:ptCount val="5"/>
                <c:pt idx="0">
                  <c:v>Water Fluoridation</c:v>
                </c:pt>
                <c:pt idx="1">
                  <c:v>Dental Sealants</c:v>
                </c:pt>
                <c:pt idx="2">
                  <c:v>Fluoride Varnish</c:v>
                </c:pt>
                <c:pt idx="3">
                  <c:v>Toothbrush/Toothpaste</c:v>
                </c:pt>
                <c:pt idx="4">
                  <c:v>Initial Exam</c:v>
                </c:pt>
              </c:strCache>
            </c:strRef>
          </c:cat>
          <c:val>
            <c:numRef>
              <c:f>Current_Health!$B$7:$B$11</c:f>
              <c:numCache>
                <c:formatCode>0</c:formatCode>
                <c:ptCount val="5"/>
                <c:pt idx="0">
                  <c:v>502.94478723404256</c:v>
                </c:pt>
                <c:pt idx="1">
                  <c:v>135.34574468085106</c:v>
                </c:pt>
                <c:pt idx="2">
                  <c:v>709.75308510638308</c:v>
                </c:pt>
                <c:pt idx="3">
                  <c:v>766.73364361702158</c:v>
                </c:pt>
                <c:pt idx="4">
                  <c:v>87.704042553191499</c:v>
                </c:pt>
              </c:numCache>
            </c:numRef>
          </c:val>
        </c:ser>
        <c:ser>
          <c:idx val="1"/>
          <c:order val="1"/>
          <c:tx>
            <c:v>Ideal Caries</c:v>
          </c:tx>
          <c:spPr>
            <a:solidFill>
              <a:schemeClr val="bg1">
                <a:lumMod val="75000"/>
              </a:schemeClr>
            </a:solidFill>
            <a:ln>
              <a:solidFill>
                <a:schemeClr val="tx1"/>
              </a:solidFill>
            </a:ln>
          </c:spPr>
          <c:invertIfNegative val="0"/>
          <c:dLbls>
            <c:spPr>
              <a:noFill/>
              <a:ln>
                <a:noFill/>
              </a:ln>
              <a:effectLst/>
            </c:spPr>
            <c:txPr>
              <a:bodyPr/>
              <a:lstStyle/>
              <a:p>
                <a:pPr>
                  <a:defRPr sz="6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Current_Health!$A$7:$A$11</c:f>
              <c:strCache>
                <c:ptCount val="5"/>
                <c:pt idx="0">
                  <c:v>Water Fluoridation</c:v>
                </c:pt>
                <c:pt idx="1">
                  <c:v>Dental Sealants</c:v>
                </c:pt>
                <c:pt idx="2">
                  <c:v>Fluoride Varnish</c:v>
                </c:pt>
                <c:pt idx="3">
                  <c:v>Toothbrush/Toothpaste</c:v>
                </c:pt>
                <c:pt idx="4">
                  <c:v>Initial Exam</c:v>
                </c:pt>
              </c:strCache>
            </c:strRef>
          </c:cat>
          <c:val>
            <c:numRef>
              <c:f>Current_Health!$C$7:$C$11</c:f>
              <c:numCache>
                <c:formatCode>0</c:formatCode>
                <c:ptCount val="5"/>
                <c:pt idx="0">
                  <c:v>952.29265957446819</c:v>
                </c:pt>
                <c:pt idx="1">
                  <c:v>11.270000000000001</c:v>
                </c:pt>
                <c:pt idx="2">
                  <c:v>0</c:v>
                </c:pt>
                <c:pt idx="3">
                  <c:v>0</c:v>
                </c:pt>
                <c:pt idx="4">
                  <c:v>0</c:v>
                </c:pt>
              </c:numCache>
            </c:numRef>
          </c:val>
        </c:ser>
        <c:ser>
          <c:idx val="2"/>
          <c:order val="2"/>
          <c:tx>
            <c:v>Current FMDRs</c:v>
          </c:tx>
          <c:spPr>
            <a:solidFill>
              <a:schemeClr val="bg1"/>
            </a:solidFill>
            <a:ln>
              <a:solidFill>
                <a:schemeClr val="tx1"/>
              </a:solidFill>
            </a:ln>
          </c:spPr>
          <c:invertIfNegative val="0"/>
          <c:dLbls>
            <c:spPr>
              <a:noFill/>
              <a:ln>
                <a:noFill/>
              </a:ln>
              <a:effectLst/>
            </c:spPr>
            <c:txPr>
              <a:bodyPr/>
              <a:lstStyle/>
              <a:p>
                <a:pPr>
                  <a:defRPr sz="6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Current_Health!$A$7:$A$11</c:f>
              <c:strCache>
                <c:ptCount val="5"/>
                <c:pt idx="0">
                  <c:v>Water Fluoridation</c:v>
                </c:pt>
                <c:pt idx="1">
                  <c:v>Dental Sealants</c:v>
                </c:pt>
                <c:pt idx="2">
                  <c:v>Fluoride Varnish</c:v>
                </c:pt>
                <c:pt idx="3">
                  <c:v>Toothbrush/Toothpaste</c:v>
                </c:pt>
                <c:pt idx="4">
                  <c:v>Initial Exam</c:v>
                </c:pt>
              </c:strCache>
            </c:strRef>
          </c:cat>
          <c:val>
            <c:numRef>
              <c:f>Current_Health!$D$7:$D$11</c:f>
              <c:numCache>
                <c:formatCode>0</c:formatCode>
                <c:ptCount val="5"/>
                <c:pt idx="0">
                  <c:v>58.085048543689318</c:v>
                </c:pt>
                <c:pt idx="1">
                  <c:v>15.63106796116505</c:v>
                </c:pt>
                <c:pt idx="2">
                  <c:v>81.969320388349516</c:v>
                </c:pt>
                <c:pt idx="3">
                  <c:v>88.550000000000011</c:v>
                </c:pt>
                <c:pt idx="4">
                  <c:v>10.128932038834952</c:v>
                </c:pt>
              </c:numCache>
            </c:numRef>
          </c:val>
        </c:ser>
        <c:ser>
          <c:idx val="3"/>
          <c:order val="3"/>
          <c:tx>
            <c:v>Ideal FMDRs</c:v>
          </c:tx>
          <c:spPr>
            <a:pattFill prst="pct75">
              <a:fgClr>
                <a:schemeClr val="tx1"/>
              </a:fgClr>
              <a:bgClr>
                <a:schemeClr val="bg1"/>
              </a:bgClr>
            </a:pattFill>
            <a:ln>
              <a:solidFill>
                <a:schemeClr val="tx1"/>
              </a:solidFill>
            </a:ln>
          </c:spPr>
          <c:invertIfNegative val="0"/>
          <c:dLbls>
            <c:spPr>
              <a:noFill/>
              <a:ln>
                <a:noFill/>
              </a:ln>
              <a:effectLst/>
            </c:spPr>
            <c:txPr>
              <a:bodyPr/>
              <a:lstStyle/>
              <a:p>
                <a:pPr>
                  <a:defRPr sz="6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Current_Health!$A$7:$A$11</c:f>
              <c:strCache>
                <c:ptCount val="5"/>
                <c:pt idx="0">
                  <c:v>Water Fluoridation</c:v>
                </c:pt>
                <c:pt idx="1">
                  <c:v>Dental Sealants</c:v>
                </c:pt>
                <c:pt idx="2">
                  <c:v>Fluoride Varnish</c:v>
                </c:pt>
                <c:pt idx="3">
                  <c:v>Toothbrush/Toothpaste</c:v>
                </c:pt>
                <c:pt idx="4">
                  <c:v>Initial Exam</c:v>
                </c:pt>
              </c:strCache>
            </c:strRef>
          </c:cat>
          <c:val>
            <c:numRef>
              <c:f>Current_Health!$E$7:$E$11</c:f>
              <c:numCache>
                <c:formatCode>0</c:formatCode>
                <c:ptCount val="5"/>
                <c:pt idx="0">
                  <c:v>109.98019417475729</c:v>
                </c:pt>
                <c:pt idx="1">
                  <c:v>161</c:v>
                </c:pt>
                <c:pt idx="2">
                  <c:v>161</c:v>
                </c:pt>
                <c:pt idx="3">
                  <c:v>161</c:v>
                </c:pt>
                <c:pt idx="4">
                  <c:v>125.3611650485437</c:v>
                </c:pt>
              </c:numCache>
            </c:numRef>
          </c:val>
        </c:ser>
        <c:dLbls>
          <c:showLegendKey val="0"/>
          <c:showVal val="0"/>
          <c:showCatName val="0"/>
          <c:showSerName val="0"/>
          <c:showPercent val="0"/>
          <c:showBubbleSize val="0"/>
        </c:dLbls>
        <c:gapWidth val="150"/>
        <c:axId val="215655928"/>
        <c:axId val="215656320"/>
      </c:barChart>
      <c:catAx>
        <c:axId val="215655928"/>
        <c:scaling>
          <c:orientation val="minMax"/>
        </c:scaling>
        <c:delete val="0"/>
        <c:axPos val="b"/>
        <c:numFmt formatCode="General" sourceLinked="0"/>
        <c:majorTickMark val="out"/>
        <c:minorTickMark val="none"/>
        <c:tickLblPos val="nextTo"/>
        <c:txPr>
          <a:bodyPr rot="0" vert="horz"/>
          <a:lstStyle/>
          <a:p>
            <a:pPr>
              <a:defRPr sz="800"/>
            </a:pPr>
            <a:endParaRPr lang="en-US"/>
          </a:p>
        </c:txPr>
        <c:crossAx val="215656320"/>
        <c:crosses val="autoZero"/>
        <c:auto val="1"/>
        <c:lblAlgn val="ctr"/>
        <c:lblOffset val="100"/>
        <c:tickLblSkip val="1"/>
        <c:noMultiLvlLbl val="0"/>
      </c:catAx>
      <c:valAx>
        <c:axId val="215656320"/>
        <c:scaling>
          <c:orientation val="minMax"/>
        </c:scaling>
        <c:delete val="0"/>
        <c:axPos val="l"/>
        <c:numFmt formatCode="0" sourceLinked="1"/>
        <c:majorTickMark val="out"/>
        <c:minorTickMark val="none"/>
        <c:tickLblPos val="nextTo"/>
        <c:crossAx val="215655928"/>
        <c:crosses val="autoZero"/>
        <c:crossBetween val="between"/>
      </c:valAx>
    </c:plotArea>
    <c:legend>
      <c:legendPos val="b"/>
      <c:layout>
        <c:manualLayout>
          <c:xMode val="edge"/>
          <c:yMode val="edge"/>
          <c:x val="0.16602558538450413"/>
          <c:y val="0.93204116907151391"/>
          <c:w val="0.66374935416537495"/>
          <c:h val="5.1027615878280121E-2"/>
        </c:manualLayout>
      </c:layout>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400"/>
              <a:t>Annual Number of Estimated Caries &amp; FMDRs completed on children</a:t>
            </a:r>
            <a:r>
              <a:rPr lang="en-US" sz="1400" baseline="0"/>
              <a:t>       </a:t>
            </a:r>
            <a:r>
              <a:rPr lang="en-US" sz="1400"/>
              <a:t>(6-60 months) over</a:t>
            </a:r>
            <a:r>
              <a:rPr lang="en-US" sz="1400" baseline="0"/>
              <a:t> 10 years, per intervention type</a:t>
            </a:r>
            <a:endParaRPr lang="en-US" sz="1400"/>
          </a:p>
        </c:rich>
      </c:tx>
      <c:overlay val="1"/>
    </c:title>
    <c:autoTitleDeleted val="0"/>
    <c:plotArea>
      <c:layout>
        <c:manualLayout>
          <c:layoutTarget val="inner"/>
          <c:xMode val="edge"/>
          <c:yMode val="edge"/>
          <c:x val="6.1618694285293353E-2"/>
          <c:y val="8.4580529147131142E-2"/>
          <c:w val="0.93838130571470668"/>
          <c:h val="0.77025318832332756"/>
        </c:manualLayout>
      </c:layout>
      <c:barChart>
        <c:barDir val="col"/>
        <c:grouping val="clustered"/>
        <c:varyColors val="0"/>
        <c:ser>
          <c:idx val="0"/>
          <c:order val="0"/>
          <c:tx>
            <c:v>Current Caries</c:v>
          </c:tx>
          <c:spPr>
            <a:solidFill>
              <a:schemeClr val="tx1"/>
            </a:solidFill>
            <a:ln>
              <a:solidFill>
                <a:schemeClr val="tx1"/>
              </a:solidFill>
            </a:ln>
          </c:spPr>
          <c:invertIfNegative val="0"/>
          <c:dLbls>
            <c:spPr>
              <a:noFill/>
              <a:ln>
                <a:noFill/>
              </a:ln>
              <a:effectLst/>
            </c:spPr>
            <c:txPr>
              <a:bodyPr/>
              <a:lstStyle/>
              <a:p>
                <a:pPr>
                  <a:defRPr sz="6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'10yr_Health'!$A$7:$A$11</c:f>
              <c:strCache>
                <c:ptCount val="5"/>
                <c:pt idx="0">
                  <c:v>Water Fluoridation</c:v>
                </c:pt>
                <c:pt idx="1">
                  <c:v>Dental Sealants</c:v>
                </c:pt>
                <c:pt idx="2">
                  <c:v>Fluoride Varnish</c:v>
                </c:pt>
                <c:pt idx="3">
                  <c:v>Toothbrush/Toothpaste</c:v>
                </c:pt>
                <c:pt idx="4">
                  <c:v>Initial Exam</c:v>
                </c:pt>
              </c:strCache>
            </c:strRef>
          </c:cat>
          <c:val>
            <c:numRef>
              <c:f>'10yr_Health'!$B$7:$B$11</c:f>
              <c:numCache>
                <c:formatCode>0</c:formatCode>
                <c:ptCount val="5"/>
                <c:pt idx="0">
                  <c:v>9290</c:v>
                </c:pt>
                <c:pt idx="1">
                  <c:v>2500</c:v>
                </c:pt>
                <c:pt idx="2">
                  <c:v>13110</c:v>
                </c:pt>
                <c:pt idx="3">
                  <c:v>14162.500000000002</c:v>
                </c:pt>
                <c:pt idx="4">
                  <c:v>1620</c:v>
                </c:pt>
              </c:numCache>
            </c:numRef>
          </c:val>
        </c:ser>
        <c:ser>
          <c:idx val="1"/>
          <c:order val="1"/>
          <c:tx>
            <c:v>Ideal Caries</c:v>
          </c:tx>
          <c:spPr>
            <a:solidFill>
              <a:schemeClr val="bg1">
                <a:lumMod val="75000"/>
              </a:schemeClr>
            </a:solidFill>
            <a:ln>
              <a:solidFill>
                <a:schemeClr val="tx1"/>
              </a:solidFill>
            </a:ln>
          </c:spPr>
          <c:invertIfNegative val="0"/>
          <c:dLbls>
            <c:spPr>
              <a:noFill/>
              <a:ln>
                <a:noFill/>
              </a:ln>
              <a:effectLst/>
            </c:spPr>
            <c:txPr>
              <a:bodyPr/>
              <a:lstStyle/>
              <a:p>
                <a:pPr>
                  <a:defRPr sz="6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'10yr_Health'!$A$7:$A$11</c:f>
              <c:strCache>
                <c:ptCount val="5"/>
                <c:pt idx="0">
                  <c:v>Water Fluoridation</c:v>
                </c:pt>
                <c:pt idx="1">
                  <c:v>Dental Sealants</c:v>
                </c:pt>
                <c:pt idx="2">
                  <c:v>Fluoride Varnish</c:v>
                </c:pt>
                <c:pt idx="3">
                  <c:v>Toothbrush/Toothpaste</c:v>
                </c:pt>
                <c:pt idx="4">
                  <c:v>Initial Exam</c:v>
                </c:pt>
              </c:strCache>
            </c:strRef>
          </c:cat>
          <c:val>
            <c:numRef>
              <c:f>'10yr_Health'!$C$7:$C$11</c:f>
              <c:numCache>
                <c:formatCode>0</c:formatCode>
                <c:ptCount val="5"/>
                <c:pt idx="0">
                  <c:v>17590</c:v>
                </c:pt>
                <c:pt idx="1">
                  <c:v>25750</c:v>
                </c:pt>
                <c:pt idx="2">
                  <c:v>25750</c:v>
                </c:pt>
                <c:pt idx="3">
                  <c:v>25750</c:v>
                </c:pt>
                <c:pt idx="4">
                  <c:v>20050</c:v>
                </c:pt>
              </c:numCache>
            </c:numRef>
          </c:val>
        </c:ser>
        <c:ser>
          <c:idx val="2"/>
          <c:order val="2"/>
          <c:tx>
            <c:v>Current FMDRs</c:v>
          </c:tx>
          <c:spPr>
            <a:solidFill>
              <a:schemeClr val="bg1"/>
            </a:solidFill>
            <a:ln>
              <a:solidFill>
                <a:schemeClr val="tx1"/>
              </a:solidFill>
            </a:ln>
          </c:spPr>
          <c:invertIfNegative val="0"/>
          <c:dLbls>
            <c:spPr>
              <a:noFill/>
              <a:ln>
                <a:noFill/>
              </a:ln>
              <a:effectLst/>
            </c:spPr>
            <c:txPr>
              <a:bodyPr/>
              <a:lstStyle/>
              <a:p>
                <a:pPr>
                  <a:defRPr sz="6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'10yr_Health'!$A$7:$A$11</c:f>
              <c:strCache>
                <c:ptCount val="5"/>
                <c:pt idx="0">
                  <c:v>Water Fluoridation</c:v>
                </c:pt>
                <c:pt idx="1">
                  <c:v>Dental Sealants</c:v>
                </c:pt>
                <c:pt idx="2">
                  <c:v>Fluoride Varnish</c:v>
                </c:pt>
                <c:pt idx="3">
                  <c:v>Toothbrush/Toothpaste</c:v>
                </c:pt>
                <c:pt idx="4">
                  <c:v>Initial Exam</c:v>
                </c:pt>
              </c:strCache>
            </c:strRef>
          </c:cat>
          <c:val>
            <c:numRef>
              <c:f>'10yr_Health'!$D$7:$D$11</c:f>
              <c:numCache>
                <c:formatCode>0</c:formatCode>
                <c:ptCount val="5"/>
                <c:pt idx="0">
                  <c:v>580.85048543689322</c:v>
                </c:pt>
                <c:pt idx="1">
                  <c:v>156.3106796116505</c:v>
                </c:pt>
                <c:pt idx="2">
                  <c:v>819.69320388349513</c:v>
                </c:pt>
                <c:pt idx="3">
                  <c:v>885.50000000000011</c:v>
                </c:pt>
                <c:pt idx="4">
                  <c:v>101.28932038834952</c:v>
                </c:pt>
              </c:numCache>
            </c:numRef>
          </c:val>
        </c:ser>
        <c:ser>
          <c:idx val="3"/>
          <c:order val="3"/>
          <c:tx>
            <c:v>Ideal FMDRs</c:v>
          </c:tx>
          <c:spPr>
            <a:pattFill prst="pct75">
              <a:fgClr>
                <a:schemeClr val="tx1"/>
              </a:fgClr>
              <a:bgClr>
                <a:schemeClr val="bg1"/>
              </a:bgClr>
            </a:pattFill>
            <a:ln>
              <a:solidFill>
                <a:schemeClr val="tx1"/>
              </a:solidFill>
            </a:ln>
          </c:spPr>
          <c:invertIfNegative val="0"/>
          <c:dLbls>
            <c:spPr>
              <a:noFill/>
              <a:ln>
                <a:noFill/>
              </a:ln>
              <a:effectLst/>
            </c:spPr>
            <c:txPr>
              <a:bodyPr/>
              <a:lstStyle/>
              <a:p>
                <a:pPr>
                  <a:defRPr sz="6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'10yr_Health'!$A$7:$A$11</c:f>
              <c:strCache>
                <c:ptCount val="5"/>
                <c:pt idx="0">
                  <c:v>Water Fluoridation</c:v>
                </c:pt>
                <c:pt idx="1">
                  <c:v>Dental Sealants</c:v>
                </c:pt>
                <c:pt idx="2">
                  <c:v>Fluoride Varnish</c:v>
                </c:pt>
                <c:pt idx="3">
                  <c:v>Toothbrush/Toothpaste</c:v>
                </c:pt>
                <c:pt idx="4">
                  <c:v>Initial Exam</c:v>
                </c:pt>
              </c:strCache>
            </c:strRef>
          </c:cat>
          <c:val>
            <c:numRef>
              <c:f>'10yr_Health'!$E$7:$E$11</c:f>
              <c:numCache>
                <c:formatCode>0</c:formatCode>
                <c:ptCount val="5"/>
                <c:pt idx="0">
                  <c:v>1099.801941747573</c:v>
                </c:pt>
                <c:pt idx="1">
                  <c:v>1610</c:v>
                </c:pt>
                <c:pt idx="2">
                  <c:v>1610</c:v>
                </c:pt>
                <c:pt idx="3">
                  <c:v>1610</c:v>
                </c:pt>
                <c:pt idx="4">
                  <c:v>1253.6116504854369</c:v>
                </c:pt>
              </c:numCache>
            </c:numRef>
          </c:val>
        </c:ser>
        <c:dLbls>
          <c:showLegendKey val="0"/>
          <c:showVal val="0"/>
          <c:showCatName val="0"/>
          <c:showSerName val="0"/>
          <c:showPercent val="0"/>
          <c:showBubbleSize val="0"/>
        </c:dLbls>
        <c:gapWidth val="150"/>
        <c:axId val="217728320"/>
        <c:axId val="217728712"/>
      </c:barChart>
      <c:catAx>
        <c:axId val="217728320"/>
        <c:scaling>
          <c:orientation val="minMax"/>
        </c:scaling>
        <c:delete val="0"/>
        <c:axPos val="b"/>
        <c:numFmt formatCode="General" sourceLinked="0"/>
        <c:majorTickMark val="out"/>
        <c:minorTickMark val="none"/>
        <c:tickLblPos val="nextTo"/>
        <c:txPr>
          <a:bodyPr rot="0" vert="horz"/>
          <a:lstStyle/>
          <a:p>
            <a:pPr>
              <a:defRPr sz="800"/>
            </a:pPr>
            <a:endParaRPr lang="en-US"/>
          </a:p>
        </c:txPr>
        <c:crossAx val="217728712"/>
        <c:crosses val="autoZero"/>
        <c:auto val="1"/>
        <c:lblAlgn val="ctr"/>
        <c:lblOffset val="100"/>
        <c:tickLblSkip val="1"/>
        <c:noMultiLvlLbl val="0"/>
      </c:catAx>
      <c:valAx>
        <c:axId val="217728712"/>
        <c:scaling>
          <c:orientation val="minMax"/>
        </c:scaling>
        <c:delete val="0"/>
        <c:axPos val="l"/>
        <c:numFmt formatCode="0" sourceLinked="1"/>
        <c:majorTickMark val="out"/>
        <c:minorTickMark val="none"/>
        <c:tickLblPos val="nextTo"/>
        <c:crossAx val="217728320"/>
        <c:crosses val="autoZero"/>
        <c:crossBetween val="between"/>
      </c:valAx>
    </c:plotArea>
    <c:legend>
      <c:legendPos val="b"/>
      <c:layout>
        <c:manualLayout>
          <c:xMode val="edge"/>
          <c:yMode val="edge"/>
          <c:x val="0.16602558538450413"/>
          <c:y val="0.93204116907151391"/>
          <c:w val="0.66374935416537495"/>
          <c:h val="5.1027615878280121E-2"/>
        </c:manualLayout>
      </c:layout>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barChart>
        <c:barDir val="col"/>
        <c:grouping val="clustered"/>
        <c:varyColors val="0"/>
        <c:ser>
          <c:idx val="0"/>
          <c:order val="0"/>
          <c:tx>
            <c:v>Current $</c:v>
          </c:tx>
          <c:spPr>
            <a:solidFill>
              <a:schemeClr val="tx1"/>
            </a:solidFill>
          </c:spPr>
          <c:invertIfNegative val="0"/>
          <c:cat>
            <c:strRef>
              <c:f>graphs!$A$6:$A$10</c:f>
              <c:strCache>
                <c:ptCount val="5"/>
                <c:pt idx="0">
                  <c:v>Water Fluoridation</c:v>
                </c:pt>
                <c:pt idx="1">
                  <c:v>Dental Sealants</c:v>
                </c:pt>
                <c:pt idx="2">
                  <c:v>Fluoride Varnish</c:v>
                </c:pt>
                <c:pt idx="3">
                  <c:v>Tooth brush</c:v>
                </c:pt>
                <c:pt idx="4">
                  <c:v>Initial Exam</c:v>
                </c:pt>
              </c:strCache>
            </c:strRef>
          </c:cat>
          <c:val>
            <c:numRef>
              <c:f>graphs!$E$6:$E$10</c:f>
              <c:numCache>
                <c:formatCode>"$"#,##0_);\("$"#,##0\)</c:formatCode>
                <c:ptCount val="5"/>
                <c:pt idx="0">
                  <c:v>154609.92641656191</c:v>
                </c:pt>
                <c:pt idx="1">
                  <c:v>105945.11923275581</c:v>
                </c:pt>
                <c:pt idx="2">
                  <c:v>536747.27527988527</c:v>
                </c:pt>
                <c:pt idx="3">
                  <c:v>531559.5897736859</c:v>
                </c:pt>
                <c:pt idx="4">
                  <c:v>92559.183733173704</c:v>
                </c:pt>
              </c:numCache>
            </c:numRef>
          </c:val>
        </c:ser>
        <c:ser>
          <c:idx val="1"/>
          <c:order val="1"/>
          <c:tx>
            <c:v>Ideal $</c:v>
          </c:tx>
          <c:spPr>
            <a:solidFill>
              <a:schemeClr val="bg1">
                <a:lumMod val="50000"/>
              </a:schemeClr>
            </a:solidFill>
          </c:spPr>
          <c:invertIfNegative val="0"/>
          <c:cat>
            <c:strRef>
              <c:f>graphs!$A$6:$A$10</c:f>
              <c:strCache>
                <c:ptCount val="5"/>
                <c:pt idx="0">
                  <c:v>Water Fluoridation</c:v>
                </c:pt>
                <c:pt idx="1">
                  <c:v>Dental Sealants</c:v>
                </c:pt>
                <c:pt idx="2">
                  <c:v>Fluoride Varnish</c:v>
                </c:pt>
                <c:pt idx="3">
                  <c:v>Tooth brush</c:v>
                </c:pt>
                <c:pt idx="4">
                  <c:v>Initial Exam</c:v>
                </c:pt>
              </c:strCache>
            </c:strRef>
          </c:cat>
          <c:val>
            <c:numRef>
              <c:f>graphs!$H$6:$H$10</c:f>
              <c:numCache>
                <c:formatCode>"$"#,##0_);\("$"#,##0\)</c:formatCode>
                <c:ptCount val="5"/>
                <c:pt idx="0">
                  <c:v>797303.09370860062</c:v>
                </c:pt>
                <c:pt idx="1">
                  <c:v>1935829.2186209143</c:v>
                </c:pt>
                <c:pt idx="2">
                  <c:v>1252020.5213677725</c:v>
                </c:pt>
                <c:pt idx="3">
                  <c:v>966471.9814067015</c:v>
                </c:pt>
                <c:pt idx="4">
                  <c:v>325671.20202412969</c:v>
                </c:pt>
              </c:numCache>
            </c:numRef>
          </c:val>
        </c:ser>
        <c:dLbls>
          <c:showLegendKey val="0"/>
          <c:showVal val="0"/>
          <c:showCatName val="0"/>
          <c:showSerName val="0"/>
          <c:showPercent val="0"/>
          <c:showBubbleSize val="0"/>
        </c:dLbls>
        <c:gapWidth val="150"/>
        <c:axId val="217731456"/>
        <c:axId val="217731848"/>
      </c:barChart>
      <c:catAx>
        <c:axId val="217731456"/>
        <c:scaling>
          <c:orientation val="minMax"/>
        </c:scaling>
        <c:delete val="0"/>
        <c:axPos val="b"/>
        <c:numFmt formatCode="General" sourceLinked="0"/>
        <c:majorTickMark val="out"/>
        <c:minorTickMark val="none"/>
        <c:tickLblPos val="nextTo"/>
        <c:crossAx val="217731848"/>
        <c:crosses val="autoZero"/>
        <c:auto val="1"/>
        <c:lblAlgn val="ctr"/>
        <c:lblOffset val="100"/>
        <c:noMultiLvlLbl val="0"/>
      </c:catAx>
      <c:valAx>
        <c:axId val="217731848"/>
        <c:scaling>
          <c:orientation val="minMax"/>
        </c:scaling>
        <c:delete val="0"/>
        <c:axPos val="l"/>
        <c:numFmt formatCode="&quot;$&quot;#,##0_);\(&quot;$&quot;#,##0\)" sourceLinked="1"/>
        <c:majorTickMark val="out"/>
        <c:minorTickMark val="none"/>
        <c:tickLblPos val="nextTo"/>
        <c:crossAx val="217731456"/>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904111986001751"/>
          <c:y val="6.9919072615923006E-2"/>
          <c:w val="0.50323622047244099"/>
          <c:h val="0.59652449693788279"/>
        </c:manualLayout>
      </c:layout>
      <c:barChart>
        <c:barDir val="col"/>
        <c:grouping val="clustered"/>
        <c:varyColors val="0"/>
        <c:ser>
          <c:idx val="0"/>
          <c:order val="0"/>
          <c:tx>
            <c:v>Current procedures prevented (min)</c:v>
          </c:tx>
          <c:spPr>
            <a:solidFill>
              <a:schemeClr val="tx1"/>
            </a:solidFill>
          </c:spPr>
          <c:invertIfNegative val="0"/>
          <c:cat>
            <c:strRef>
              <c:f>graphs!$A$6:$A$10</c:f>
              <c:strCache>
                <c:ptCount val="5"/>
                <c:pt idx="0">
                  <c:v>Water Fluoridation</c:v>
                </c:pt>
                <c:pt idx="1">
                  <c:v>Dental Sealants</c:v>
                </c:pt>
                <c:pt idx="2">
                  <c:v>Fluoride Varnish</c:v>
                </c:pt>
                <c:pt idx="3">
                  <c:v>Tooth brush</c:v>
                </c:pt>
                <c:pt idx="4">
                  <c:v>Initial Exam</c:v>
                </c:pt>
              </c:strCache>
            </c:strRef>
          </c:cat>
          <c:val>
            <c:numRef>
              <c:f>graphs!$C$6:$C$10</c:f>
              <c:numCache>
                <c:formatCode>0</c:formatCode>
                <c:ptCount val="5"/>
                <c:pt idx="0">
                  <c:v>2159.7484502085226</c:v>
                </c:pt>
                <c:pt idx="1">
                  <c:v>634.85194984186899</c:v>
                </c:pt>
                <c:pt idx="2" formatCode="#,##0">
                  <c:v>2110.0332834321734</c:v>
                </c:pt>
                <c:pt idx="3" formatCode="#,##0">
                  <c:v>2659.336697638661</c:v>
                </c:pt>
                <c:pt idx="4" formatCode="#,##0">
                  <c:v>318.6777956671018</c:v>
                </c:pt>
              </c:numCache>
            </c:numRef>
          </c:val>
        </c:ser>
        <c:ser>
          <c:idx val="1"/>
          <c:order val="1"/>
          <c:tx>
            <c:v>Current procedures prevented (max)</c:v>
          </c:tx>
          <c:spPr>
            <a:solidFill>
              <a:schemeClr val="bg1"/>
            </a:solidFill>
            <a:ln>
              <a:solidFill>
                <a:schemeClr val="accent1"/>
              </a:solidFill>
            </a:ln>
          </c:spPr>
          <c:invertIfNegative val="0"/>
          <c:cat>
            <c:strRef>
              <c:f>graphs!$A$6:$A$10</c:f>
              <c:strCache>
                <c:ptCount val="5"/>
                <c:pt idx="0">
                  <c:v>Water Fluoridation</c:v>
                </c:pt>
                <c:pt idx="1">
                  <c:v>Dental Sealants</c:v>
                </c:pt>
                <c:pt idx="2">
                  <c:v>Fluoride Varnish</c:v>
                </c:pt>
                <c:pt idx="3">
                  <c:v>Tooth brush</c:v>
                </c:pt>
                <c:pt idx="4">
                  <c:v>Initial Exam</c:v>
                </c:pt>
              </c:strCache>
            </c:strRef>
          </c:cat>
          <c:val>
            <c:numRef>
              <c:f>graphs!$D$6:$D$10</c:f>
              <c:numCache>
                <c:formatCode>0</c:formatCode>
                <c:ptCount val="5"/>
                <c:pt idx="0" formatCode="#,##0">
                  <c:v>2907.3536829730115</c:v>
                </c:pt>
                <c:pt idx="1">
                  <c:v>697.44298715022273</c:v>
                </c:pt>
                <c:pt idx="2" formatCode="#,##0">
                  <c:v>2813.3777112428984</c:v>
                </c:pt>
                <c:pt idx="3" formatCode="#,##0">
                  <c:v>3545.7822635182165</c:v>
                </c:pt>
                <c:pt idx="4" formatCode="#,##0">
                  <c:v>463.53133915214795</c:v>
                </c:pt>
              </c:numCache>
            </c:numRef>
          </c:val>
        </c:ser>
        <c:ser>
          <c:idx val="2"/>
          <c:order val="2"/>
          <c:tx>
            <c:v>Ideal procedures prevented (min)</c:v>
          </c:tx>
          <c:spPr>
            <a:solidFill>
              <a:schemeClr val="bg1">
                <a:lumMod val="50000"/>
              </a:schemeClr>
            </a:solidFill>
          </c:spPr>
          <c:invertIfNegative val="0"/>
          <c:cat>
            <c:strRef>
              <c:f>graphs!$A$6:$A$10</c:f>
              <c:strCache>
                <c:ptCount val="5"/>
                <c:pt idx="0">
                  <c:v>Water Fluoridation</c:v>
                </c:pt>
                <c:pt idx="1">
                  <c:v>Dental Sealants</c:v>
                </c:pt>
                <c:pt idx="2">
                  <c:v>Fluoride Varnish</c:v>
                </c:pt>
                <c:pt idx="3">
                  <c:v>Tooth brush</c:v>
                </c:pt>
                <c:pt idx="4">
                  <c:v>Initial Exam</c:v>
                </c:pt>
              </c:strCache>
            </c:strRef>
          </c:cat>
          <c:val>
            <c:numRef>
              <c:f>graphs!$F$6:$F$10</c:f>
              <c:numCache>
                <c:formatCode>0</c:formatCode>
                <c:ptCount val="5"/>
                <c:pt idx="0">
                  <c:v>4089.3407146574732</c:v>
                </c:pt>
                <c:pt idx="1">
                  <c:v>6538.9750833712515</c:v>
                </c:pt>
                <c:pt idx="2">
                  <c:v>4144.4208274888224</c:v>
                </c:pt>
                <c:pt idx="3">
                  <c:v>4835.1576320702925</c:v>
                </c:pt>
                <c:pt idx="4">
                  <c:v>3944.1295081020926</c:v>
                </c:pt>
              </c:numCache>
            </c:numRef>
          </c:val>
        </c:ser>
        <c:ser>
          <c:idx val="3"/>
          <c:order val="3"/>
          <c:tx>
            <c:v>Ideal procedures prevented (max)</c:v>
          </c:tx>
          <c:spPr>
            <a:pattFill prst="ltUpDiag">
              <a:fgClr>
                <a:schemeClr val="bg1">
                  <a:lumMod val="50000"/>
                </a:schemeClr>
              </a:fgClr>
              <a:bgClr>
                <a:schemeClr val="bg1"/>
              </a:bgClr>
            </a:pattFill>
          </c:spPr>
          <c:invertIfNegative val="0"/>
          <c:cat>
            <c:strRef>
              <c:f>graphs!$A$6:$A$10</c:f>
              <c:strCache>
                <c:ptCount val="5"/>
                <c:pt idx="0">
                  <c:v>Water Fluoridation</c:v>
                </c:pt>
                <c:pt idx="1">
                  <c:v>Dental Sealants</c:v>
                </c:pt>
                <c:pt idx="2">
                  <c:v>Fluoride Varnish</c:v>
                </c:pt>
                <c:pt idx="3">
                  <c:v>Tooth brush</c:v>
                </c:pt>
                <c:pt idx="4">
                  <c:v>Initial Exam</c:v>
                </c:pt>
              </c:strCache>
            </c:strRef>
          </c:cat>
          <c:val>
            <c:numRef>
              <c:f>graphs!$G$6:$G$10</c:f>
              <c:numCache>
                <c:formatCode>0</c:formatCode>
                <c:ptCount val="5"/>
                <c:pt idx="0">
                  <c:v>5504.8817312696738</c:v>
                </c:pt>
                <c:pt idx="1">
                  <c:v>7183.6627676472935</c:v>
                </c:pt>
                <c:pt idx="2">
                  <c:v>5525.8944366517626</c:v>
                </c:pt>
                <c:pt idx="3">
                  <c:v>6446.8768427603909</c:v>
                </c:pt>
                <c:pt idx="4">
                  <c:v>5736.9156481484988</c:v>
                </c:pt>
              </c:numCache>
            </c:numRef>
          </c:val>
        </c:ser>
        <c:dLbls>
          <c:showLegendKey val="0"/>
          <c:showVal val="0"/>
          <c:showCatName val="0"/>
          <c:showSerName val="0"/>
          <c:showPercent val="0"/>
          <c:showBubbleSize val="0"/>
        </c:dLbls>
        <c:gapWidth val="150"/>
        <c:axId val="217328640"/>
        <c:axId val="217329032"/>
      </c:barChart>
      <c:catAx>
        <c:axId val="217328640"/>
        <c:scaling>
          <c:orientation val="minMax"/>
        </c:scaling>
        <c:delete val="0"/>
        <c:axPos val="b"/>
        <c:numFmt formatCode="General" sourceLinked="0"/>
        <c:majorTickMark val="out"/>
        <c:minorTickMark val="none"/>
        <c:tickLblPos val="nextTo"/>
        <c:crossAx val="217329032"/>
        <c:crosses val="autoZero"/>
        <c:auto val="1"/>
        <c:lblAlgn val="ctr"/>
        <c:lblOffset val="100"/>
        <c:noMultiLvlLbl val="0"/>
      </c:catAx>
      <c:valAx>
        <c:axId val="217329032"/>
        <c:scaling>
          <c:orientation val="minMax"/>
        </c:scaling>
        <c:delete val="0"/>
        <c:axPos val="l"/>
        <c:numFmt formatCode="0" sourceLinked="1"/>
        <c:majorTickMark val="out"/>
        <c:minorTickMark val="none"/>
        <c:tickLblPos val="nextTo"/>
        <c:crossAx val="21732864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hyperlink" Target="#Instruction!A1"/><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hyperlink" Target="#Varnish!A1"/><Relationship Id="rId2" Type="http://schemas.openxmlformats.org/officeDocument/2006/relationships/hyperlink" Target="#Initial_exam!A1"/><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hyperlink" Target="#Toothbrushes!A1"/><Relationship Id="rId2" Type="http://schemas.openxmlformats.org/officeDocument/2006/relationships/hyperlink" Target="#Effectiveness!A1"/><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hyperlink" Target="#Initial_exam!A1"/><Relationship Id="rId2" Type="http://schemas.openxmlformats.org/officeDocument/2006/relationships/hyperlink" Target="#Summary!A1"/><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hyperlink" Target="#Effectiveness!A1"/><Relationship Id="rId2" Type="http://schemas.openxmlformats.org/officeDocument/2006/relationships/hyperlink" Target="#Prevention!A1"/><Relationship Id="rId1" Type="http://schemas.openxmlformats.org/officeDocument/2006/relationships/image" Target="../media/image1.png"/><Relationship Id="rId4" Type="http://schemas.openxmlformats.org/officeDocument/2006/relationships/hyperlink" Target="#Explain!A1"/></Relationships>
</file>

<file path=xl/drawings/_rels/drawing14.xml.rels><?xml version="1.0" encoding="UTF-8" standalone="yes"?>
<Relationships xmlns="http://schemas.openxmlformats.org/package/2006/relationships"><Relationship Id="rId3" Type="http://schemas.openxmlformats.org/officeDocument/2006/relationships/hyperlink" Target="#Summary!A1"/><Relationship Id="rId2" Type="http://schemas.openxmlformats.org/officeDocument/2006/relationships/hyperlink" Target="#Outcomes!A1"/><Relationship Id="rId1" Type="http://schemas.openxmlformats.org/officeDocument/2006/relationships/image" Target="../media/image1.png"/><Relationship Id="rId4" Type="http://schemas.openxmlformats.org/officeDocument/2006/relationships/hyperlink" Target="#Supplement1!A1"/></Relationships>
</file>

<file path=xl/drawings/_rels/drawing15.xml.rels><?xml version="1.0" encoding="UTF-8" standalone="yes"?>
<Relationships xmlns="http://schemas.openxmlformats.org/package/2006/relationships"><Relationship Id="rId3" Type="http://schemas.openxmlformats.org/officeDocument/2006/relationships/hyperlink" Target="#Prevention!A1"/><Relationship Id="rId2" Type="http://schemas.openxmlformats.org/officeDocument/2006/relationships/hyperlink" Target="#Prevention_Cost!A1"/><Relationship Id="rId1" Type="http://schemas.openxmlformats.org/officeDocument/2006/relationships/image" Target="../media/image1.png"/><Relationship Id="rId4" Type="http://schemas.openxmlformats.org/officeDocument/2006/relationships/chart" Target="../charts/chart1.xml"/></Relationships>
</file>

<file path=xl/drawings/_rels/drawing16.xml.rels><?xml version="1.0" encoding="UTF-8" standalone="yes"?>
<Relationships xmlns="http://schemas.openxmlformats.org/package/2006/relationships"><Relationship Id="rId1" Type="http://schemas.openxmlformats.org/officeDocument/2006/relationships/hyperlink" Target="#Prevention!A1"/></Relationships>
</file>

<file path=xl/drawings/_rels/drawing17.xml.rels><?xml version="1.0" encoding="UTF-8" standalone="yes"?>
<Relationships xmlns="http://schemas.openxmlformats.org/package/2006/relationships"><Relationship Id="rId1" Type="http://schemas.openxmlformats.org/officeDocument/2006/relationships/hyperlink" Target="#CEA!A1"/></Relationships>
</file>

<file path=xl/drawings/_rels/drawing18.xml.rels><?xml version="1.0" encoding="UTF-8" standalone="yes"?>
<Relationships xmlns="http://schemas.openxmlformats.org/package/2006/relationships"><Relationship Id="rId3" Type="http://schemas.openxmlformats.org/officeDocument/2006/relationships/hyperlink" Target="#Outcomes!A1"/><Relationship Id="rId2" Type="http://schemas.openxmlformats.org/officeDocument/2006/relationships/hyperlink" Target="#CEA!A1"/><Relationship Id="rId1" Type="http://schemas.openxmlformats.org/officeDocument/2006/relationships/image" Target="../media/image1.png"/><Relationship Id="rId4" Type="http://schemas.openxmlformats.org/officeDocument/2006/relationships/hyperlink" Target="#'Actual_Prevention $'!A1"/></Relationships>
</file>

<file path=xl/drawings/_rels/drawing19.xml.rels><?xml version="1.0" encoding="UTF-8" standalone="yes"?>
<Relationships xmlns="http://schemas.openxmlformats.org/package/2006/relationships"><Relationship Id="rId3" Type="http://schemas.openxmlformats.org/officeDocument/2006/relationships/hyperlink" Target="#Population!A1"/><Relationship Id="rId2" Type="http://schemas.openxmlformats.org/officeDocument/2006/relationships/hyperlink" Target="#Prevention_Cost!A1"/><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hyperlink" Target="#Main!A1"/><Relationship Id="rId2" Type="http://schemas.openxmlformats.org/officeDocument/2006/relationships/hyperlink" Target="#Population!A1"/><Relationship Id="rId1" Type="http://schemas.openxmlformats.org/officeDocument/2006/relationships/image" Target="../media/image1.png"/><Relationship Id="rId4" Type="http://schemas.openxmlformats.org/officeDocument/2006/relationships/hyperlink" Target="#Explain!A1"/></Relationships>
</file>

<file path=xl/drawings/_rels/drawing20.xml.rels><?xml version="1.0" encoding="UTF-8" standalone="yes"?>
<Relationships xmlns="http://schemas.openxmlformats.org/package/2006/relationships"><Relationship Id="rId3" Type="http://schemas.openxmlformats.org/officeDocument/2006/relationships/hyperlink" Target="#Prevention_Cost!A1"/><Relationship Id="rId2" Type="http://schemas.openxmlformats.org/officeDocument/2006/relationships/hyperlink" Target="#CEA_Actual!A1"/><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3" Type="http://schemas.openxmlformats.org/officeDocument/2006/relationships/hyperlink" Target="#Prevention_Cost!A1"/><Relationship Id="rId2" Type="http://schemas.openxmlformats.org/officeDocument/2006/relationships/hyperlink" Target="#Main!A1"/><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2" Type="http://schemas.openxmlformats.org/officeDocument/2006/relationships/hyperlink" Target="#Summary!A1"/><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hyperlink" Target="#For_a_full_list_of_calculations"/></Relationships>
</file>

<file path=xl/drawings/_rels/drawing24.xml.rels><?xml version="1.0" encoding="UTF-8" standalone="yes"?>
<Relationships xmlns="http://schemas.openxmlformats.org/package/2006/relationships"><Relationship Id="rId2" Type="http://schemas.openxmlformats.org/officeDocument/2006/relationships/hyperlink" Target="#Prevention!A1"/><Relationship Id="rId1" Type="http://schemas.openxmlformats.org/officeDocument/2006/relationships/hyperlink" Target="#Prevention_Cost!A1"/></Relationships>
</file>

<file path=xl/drawings/_rels/drawing25.xml.rels><?xml version="1.0" encoding="UTF-8" standalone="yes"?>
<Relationships xmlns="http://schemas.openxmlformats.org/package/2006/relationships"><Relationship Id="rId1" Type="http://schemas.openxmlformats.org/officeDocument/2006/relationships/hyperlink" Target="#Prevention_Cost!A1"/></Relationships>
</file>

<file path=xl/drawings/_rels/drawing26.xml.rels><?xml version="1.0" encoding="UTF-8" standalone="yes"?>
<Relationships xmlns="http://schemas.openxmlformats.org/package/2006/relationships"><Relationship Id="rId1" Type="http://schemas.openxmlformats.org/officeDocument/2006/relationships/hyperlink" Target="#CEA!A1"/></Relationships>
</file>

<file path=xl/drawings/_rels/drawing27.xml.rels><?xml version="1.0" encoding="UTF-8" standalone="yes"?>
<Relationships xmlns="http://schemas.openxmlformats.org/package/2006/relationships"><Relationship Id="rId2" Type="http://schemas.openxmlformats.org/officeDocument/2006/relationships/hyperlink" Target="#Summary!A1"/><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3" Type="http://schemas.openxmlformats.org/officeDocument/2006/relationships/hyperlink" Target="#Supplement2!A1"/><Relationship Id="rId2" Type="http://schemas.openxmlformats.org/officeDocument/2006/relationships/hyperlink" Target="#Prevention!A1"/><Relationship Id="rId1" Type="http://schemas.openxmlformats.org/officeDocument/2006/relationships/image" Target="../media/image1.png"/><Relationship Id="rId4" Type="http://schemas.openxmlformats.org/officeDocument/2006/relationships/image" Target="../media/image2.png"/></Relationships>
</file>

<file path=xl/drawings/_rels/drawing29.xml.rels><?xml version="1.0" encoding="UTF-8" standalone="yes"?>
<Relationships xmlns="http://schemas.openxmlformats.org/package/2006/relationships"><Relationship Id="rId2" Type="http://schemas.openxmlformats.org/officeDocument/2006/relationships/hyperlink" Target="#Supplement1!A1"/><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A1"/><Relationship Id="rId2" Type="http://schemas.openxmlformats.org/officeDocument/2006/relationships/hyperlink" Target="#Caries!A1"/><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chart" Target="../charts/chart3.xml"/><Relationship Id="rId1" Type="http://schemas.openxmlformats.org/officeDocument/2006/relationships/chart" Target="../charts/chart2.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4.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5.xml"/></Relationships>
</file>

<file path=xl/drawings/_rels/drawing33.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3" Type="http://schemas.openxmlformats.org/officeDocument/2006/relationships/hyperlink" Target="#Population!A1"/><Relationship Id="rId2" Type="http://schemas.openxmlformats.org/officeDocument/2006/relationships/hyperlink" Target="#FMDR!A1"/><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hyperlink" Target="#Caries!A1"/><Relationship Id="rId2" Type="http://schemas.openxmlformats.org/officeDocument/2006/relationships/hyperlink" Target="#Fluoridation!A1"/><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hyperlink" Target="#Caries!A1"/><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hyperlink" Target="#Anesthesia!A1"/><Relationship Id="rId2" Type="http://schemas.openxmlformats.org/officeDocument/2006/relationships/hyperlink" Target="#Sealants!A1"/><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hyperlink" Target="#Fluoridation!A1"/><Relationship Id="rId2" Type="http://schemas.openxmlformats.org/officeDocument/2006/relationships/hyperlink" Target="#Varnish!A1"/><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hyperlink" Target="#Sealants!A1"/><Relationship Id="rId2" Type="http://schemas.openxmlformats.org/officeDocument/2006/relationships/hyperlink" Target="#Toothbrushes!A1"/><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19</xdr:row>
      <xdr:rowOff>19050</xdr:rowOff>
    </xdr:from>
    <xdr:to>
      <xdr:col>0</xdr:col>
      <xdr:colOff>876300</xdr:colOff>
      <xdr:row>23</xdr:row>
      <xdr:rowOff>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62625"/>
          <a:ext cx="876300" cy="742950"/>
        </a:xfrm>
        <a:prstGeom prst="rect">
          <a:avLst/>
        </a:prstGeom>
      </xdr:spPr>
    </xdr:pic>
    <xdr:clientData/>
  </xdr:twoCellAnchor>
  <xdr:twoCellAnchor>
    <xdr:from>
      <xdr:col>0</xdr:col>
      <xdr:colOff>971550</xdr:colOff>
      <xdr:row>19</xdr:row>
      <xdr:rowOff>47625</xdr:rowOff>
    </xdr:from>
    <xdr:to>
      <xdr:col>15</xdr:col>
      <xdr:colOff>180975</xdr:colOff>
      <xdr:row>22</xdr:row>
      <xdr:rowOff>0</xdr:rowOff>
    </xdr:to>
    <xdr:sp macro="" textlink="">
      <xdr:nvSpPr>
        <xdr:cNvPr id="4" name="Rectangle 2"/>
        <xdr:cNvSpPr>
          <a:spLocks noChangeArrowheads="1"/>
        </xdr:cNvSpPr>
      </xdr:nvSpPr>
      <xdr:spPr bwMode="auto">
        <a:xfrm>
          <a:off x="971550" y="4514850"/>
          <a:ext cx="8724900" cy="523875"/>
        </a:xfrm>
        <a:prstGeom prst="rect">
          <a:avLst/>
        </a:prstGeom>
        <a:solidFill>
          <a:srgbClr xmlns:mc="http://schemas.openxmlformats.org/markup-compatibility/2006" xmlns:a14="http://schemas.microsoft.com/office/drawing/2010/main" val="FFFF00" mc:Ignorable="a14" a14:legacySpreadsheetColorIndex="13"/>
        </a:solidFill>
        <a:ln>
          <a:noFill/>
        </a:ln>
        <a:effectLst>
          <a:prstShdw prst="shdw13" dist="53882" dir="13500000">
            <a:srgbClr val="808080">
              <a:alpha val="50000"/>
            </a:srgbClr>
          </a:prstShdw>
        </a:effectLst>
        <a:extLst>
          <a:ext uri="{91240B29-F687-4F45-9708-019B960494DF}">
            <a14:hiddenLine xmlns:a14="http://schemas.microsoft.com/office/drawing/2010/main" w="9525" cap="rnd" algn="ctr">
              <a:solidFill>
                <a:srgbClr val="000000"/>
              </a:solidFill>
              <a:prstDash val="sysDot"/>
              <a:miter lim="800000"/>
              <a:headEnd/>
              <a:tailEnd/>
            </a14:hiddenLine>
          </a:ext>
        </a:extLst>
      </xdr:spPr>
      <xdr:txBody>
        <a:bodyPr vertOverflow="clip" wrap="square" lIns="27432" tIns="22860" rIns="0" bIns="0" anchor="t" upright="1"/>
        <a:lstStyle/>
        <a:p>
          <a:pPr algn="l" rtl="0">
            <a:defRPr sz="1000"/>
          </a:pPr>
          <a:r>
            <a:rPr lang="en-US" sz="1000" b="1" i="0" u="none" strike="noStrike" baseline="0">
              <a:solidFill>
                <a:srgbClr val="000000"/>
              </a:solidFill>
              <a:latin typeface="Arial"/>
              <a:cs typeface="Arial"/>
            </a:rPr>
            <a:t>Disclaimer:   The use of this version is for testing purposes only and has not been officially cleared.  The methodology used in, findings and conclusions produced from, this software are those of the authors and do not necessarily represent the views of the Centers for Disease Control and Prevention.</a:t>
          </a:r>
          <a:endParaRPr lang="en-US" b="1"/>
        </a:p>
      </xdr:txBody>
    </xdr:sp>
    <xdr:clientData/>
  </xdr:twoCellAnchor>
  <xdr:twoCellAnchor>
    <xdr:from>
      <xdr:col>5</xdr:col>
      <xdr:colOff>85725</xdr:colOff>
      <xdr:row>24</xdr:row>
      <xdr:rowOff>76200</xdr:rowOff>
    </xdr:from>
    <xdr:to>
      <xdr:col>7</xdr:col>
      <xdr:colOff>47625</xdr:colOff>
      <xdr:row>26</xdr:row>
      <xdr:rowOff>85725</xdr:rowOff>
    </xdr:to>
    <xdr:sp macro="" textlink="">
      <xdr:nvSpPr>
        <xdr:cNvPr id="7" name="Flowchart: Alternate Process 6">
          <a:hlinkClick xmlns:r="http://schemas.openxmlformats.org/officeDocument/2006/relationships" r:id="rId2"/>
        </xdr:cNvPr>
        <xdr:cNvSpPr/>
      </xdr:nvSpPr>
      <xdr:spPr>
        <a:xfrm>
          <a:off x="3505200" y="6772275"/>
          <a:ext cx="1181100" cy="390525"/>
        </a:xfrm>
        <a:prstGeom prst="flowChartAlternateProcess">
          <a:avLst/>
        </a:prstGeom>
        <a:solidFill>
          <a:schemeClr val="tx2"/>
        </a:solidFill>
        <a:ln>
          <a:solidFill>
            <a:srgbClr val="C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2400" b="1"/>
            <a:t>START</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1</xdr:col>
      <xdr:colOff>638175</xdr:colOff>
      <xdr:row>2</xdr:row>
      <xdr:rowOff>9525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 y="0"/>
          <a:ext cx="1028700" cy="923925"/>
        </a:xfrm>
        <a:prstGeom prst="rect">
          <a:avLst/>
        </a:prstGeom>
      </xdr:spPr>
    </xdr:pic>
    <xdr:clientData/>
  </xdr:twoCellAnchor>
  <xdr:twoCellAnchor>
    <xdr:from>
      <xdr:col>12</xdr:col>
      <xdr:colOff>819150</xdr:colOff>
      <xdr:row>1</xdr:row>
      <xdr:rowOff>95250</xdr:rowOff>
    </xdr:from>
    <xdr:to>
      <xdr:col>14</xdr:col>
      <xdr:colOff>276225</xdr:colOff>
      <xdr:row>1</xdr:row>
      <xdr:rowOff>485775</xdr:rowOff>
    </xdr:to>
    <xdr:sp macro="" textlink="">
      <xdr:nvSpPr>
        <xdr:cNvPr id="4" name="Flowchart: Alternate Process 3">
          <a:hlinkClick xmlns:r="http://schemas.openxmlformats.org/officeDocument/2006/relationships" r:id="rId2"/>
        </xdr:cNvPr>
        <xdr:cNvSpPr/>
      </xdr:nvSpPr>
      <xdr:spPr>
        <a:xfrm>
          <a:off x="12515850" y="419100"/>
          <a:ext cx="1181100" cy="390525"/>
        </a:xfrm>
        <a:prstGeom prst="flowChartAlternateProcess">
          <a:avLst/>
        </a:prstGeom>
        <a:solidFill>
          <a:schemeClr val="tx2"/>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400" b="1"/>
            <a:t>NEXT</a:t>
          </a:r>
        </a:p>
      </xdr:txBody>
    </xdr:sp>
    <xdr:clientData/>
  </xdr:twoCellAnchor>
  <xdr:twoCellAnchor>
    <xdr:from>
      <xdr:col>2</xdr:col>
      <xdr:colOff>400050</xdr:colOff>
      <xdr:row>1</xdr:row>
      <xdr:rowOff>104775</xdr:rowOff>
    </xdr:from>
    <xdr:to>
      <xdr:col>4</xdr:col>
      <xdr:colOff>152400</xdr:colOff>
      <xdr:row>1</xdr:row>
      <xdr:rowOff>495300</xdr:rowOff>
    </xdr:to>
    <xdr:sp macro="" textlink="">
      <xdr:nvSpPr>
        <xdr:cNvPr id="5" name="Flowchart: Alternate Process 4">
          <a:hlinkClick xmlns:r="http://schemas.openxmlformats.org/officeDocument/2006/relationships" r:id="rId3"/>
        </xdr:cNvPr>
        <xdr:cNvSpPr/>
      </xdr:nvSpPr>
      <xdr:spPr>
        <a:xfrm>
          <a:off x="1533525" y="428625"/>
          <a:ext cx="1285875" cy="390525"/>
        </a:xfrm>
        <a:prstGeom prst="flowChartAlternateProcess">
          <a:avLst/>
        </a:prstGeom>
        <a:solidFill>
          <a:schemeClr val="tx2"/>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400" b="1"/>
            <a:t>BACK</a:t>
          </a: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857250</xdr:colOff>
      <xdr:row>1</xdr:row>
      <xdr:rowOff>571500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5" y="28575"/>
          <a:ext cx="1028700" cy="866775"/>
        </a:xfrm>
        <a:prstGeom prst="rect">
          <a:avLst/>
        </a:prstGeom>
      </xdr:spPr>
    </xdr:pic>
    <xdr:clientData/>
  </xdr:twoCellAnchor>
  <xdr:twoCellAnchor>
    <xdr:from>
      <xdr:col>12</xdr:col>
      <xdr:colOff>180975</xdr:colOff>
      <xdr:row>1</xdr:row>
      <xdr:rowOff>76200</xdr:rowOff>
    </xdr:from>
    <xdr:to>
      <xdr:col>14</xdr:col>
      <xdr:colOff>85725</xdr:colOff>
      <xdr:row>1</xdr:row>
      <xdr:rowOff>466725</xdr:rowOff>
    </xdr:to>
    <xdr:sp macro="" textlink="">
      <xdr:nvSpPr>
        <xdr:cNvPr id="4" name="Flowchart: Alternate Process 3">
          <a:hlinkClick xmlns:r="http://schemas.openxmlformats.org/officeDocument/2006/relationships" r:id="rId2"/>
        </xdr:cNvPr>
        <xdr:cNvSpPr/>
      </xdr:nvSpPr>
      <xdr:spPr>
        <a:xfrm>
          <a:off x="12639675" y="400050"/>
          <a:ext cx="1123950" cy="390525"/>
        </a:xfrm>
        <a:prstGeom prst="flowChartAlternateProcess">
          <a:avLst/>
        </a:prstGeom>
        <a:solidFill>
          <a:schemeClr val="tx2"/>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400" b="1"/>
            <a:t>NEXT</a:t>
          </a:r>
        </a:p>
      </xdr:txBody>
    </xdr:sp>
    <xdr:clientData/>
  </xdr:twoCellAnchor>
  <xdr:twoCellAnchor>
    <xdr:from>
      <xdr:col>2</xdr:col>
      <xdr:colOff>238125</xdr:colOff>
      <xdr:row>1</xdr:row>
      <xdr:rowOff>104775</xdr:rowOff>
    </xdr:from>
    <xdr:to>
      <xdr:col>3</xdr:col>
      <xdr:colOff>714375</xdr:colOff>
      <xdr:row>1</xdr:row>
      <xdr:rowOff>495300</xdr:rowOff>
    </xdr:to>
    <xdr:sp macro="" textlink="">
      <xdr:nvSpPr>
        <xdr:cNvPr id="5" name="Flowchart: Alternate Process 4">
          <a:hlinkClick xmlns:r="http://schemas.openxmlformats.org/officeDocument/2006/relationships" r:id="rId3"/>
        </xdr:cNvPr>
        <xdr:cNvSpPr/>
      </xdr:nvSpPr>
      <xdr:spPr>
        <a:xfrm>
          <a:off x="1381125" y="428625"/>
          <a:ext cx="1123950" cy="390525"/>
        </a:xfrm>
        <a:prstGeom prst="flowChartAlternateProcess">
          <a:avLst/>
        </a:prstGeom>
        <a:solidFill>
          <a:schemeClr val="tx2"/>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400" b="1"/>
            <a:t>BACK</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1028700</xdr:colOff>
      <xdr:row>2</xdr:row>
      <xdr:rowOff>9525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28700" cy="923925"/>
        </a:xfrm>
        <a:prstGeom prst="rect">
          <a:avLst/>
        </a:prstGeom>
      </xdr:spPr>
    </xdr:pic>
    <xdr:clientData/>
  </xdr:twoCellAnchor>
  <xdr:twoCellAnchor>
    <xdr:from>
      <xdr:col>11</xdr:col>
      <xdr:colOff>28575</xdr:colOff>
      <xdr:row>1</xdr:row>
      <xdr:rowOff>123825</xdr:rowOff>
    </xdr:from>
    <xdr:to>
      <xdr:col>12</xdr:col>
      <xdr:colOff>600075</xdr:colOff>
      <xdr:row>1</xdr:row>
      <xdr:rowOff>514350</xdr:rowOff>
    </xdr:to>
    <xdr:sp macro="" textlink="">
      <xdr:nvSpPr>
        <xdr:cNvPr id="4" name="Flowchart: Alternate Process 3">
          <a:hlinkClick xmlns:r="http://schemas.openxmlformats.org/officeDocument/2006/relationships" r:id="rId2"/>
        </xdr:cNvPr>
        <xdr:cNvSpPr/>
      </xdr:nvSpPr>
      <xdr:spPr>
        <a:xfrm>
          <a:off x="12344400" y="447675"/>
          <a:ext cx="1181100" cy="390525"/>
        </a:xfrm>
        <a:prstGeom prst="flowChartAlternateProcess">
          <a:avLst/>
        </a:prstGeom>
        <a:solidFill>
          <a:schemeClr val="tx2"/>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400" b="1"/>
            <a:t>NEXT</a:t>
          </a:r>
        </a:p>
      </xdr:txBody>
    </xdr:sp>
    <xdr:clientData/>
  </xdr:twoCellAnchor>
  <xdr:twoCellAnchor>
    <xdr:from>
      <xdr:col>1</xdr:col>
      <xdr:colOff>638175</xdr:colOff>
      <xdr:row>1</xdr:row>
      <xdr:rowOff>57150</xdr:rowOff>
    </xdr:from>
    <xdr:to>
      <xdr:col>2</xdr:col>
      <xdr:colOff>914400</xdr:colOff>
      <xdr:row>1</xdr:row>
      <xdr:rowOff>447675</xdr:rowOff>
    </xdr:to>
    <xdr:sp macro="" textlink="">
      <xdr:nvSpPr>
        <xdr:cNvPr id="5" name="Flowchart: Alternate Process 4">
          <a:hlinkClick xmlns:r="http://schemas.openxmlformats.org/officeDocument/2006/relationships" r:id="rId3"/>
        </xdr:cNvPr>
        <xdr:cNvSpPr/>
      </xdr:nvSpPr>
      <xdr:spPr>
        <a:xfrm>
          <a:off x="1771650" y="381000"/>
          <a:ext cx="1419225" cy="390525"/>
        </a:xfrm>
        <a:prstGeom prst="flowChartAlternateProcess">
          <a:avLst/>
        </a:prstGeom>
        <a:solidFill>
          <a:schemeClr val="tx2"/>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400" b="1"/>
            <a:t>BACK</a:t>
          </a:r>
        </a:p>
      </xdr:txBody>
    </xdr:sp>
    <xdr:clientData/>
  </xdr:twoCellAnchor>
  <xdr:twoCellAnchor>
    <xdr:from>
      <xdr:col>7</xdr:col>
      <xdr:colOff>19050</xdr:colOff>
      <xdr:row>6</xdr:row>
      <xdr:rowOff>133349</xdr:rowOff>
    </xdr:from>
    <xdr:to>
      <xdr:col>15</xdr:col>
      <xdr:colOff>0</xdr:colOff>
      <xdr:row>9</xdr:row>
      <xdr:rowOff>19049</xdr:rowOff>
    </xdr:to>
    <xdr:sp macro="" textlink="">
      <xdr:nvSpPr>
        <xdr:cNvPr id="3" name="TextBox 2"/>
        <xdr:cNvSpPr txBox="1"/>
      </xdr:nvSpPr>
      <xdr:spPr>
        <a:xfrm>
          <a:off x="8515350" y="2400299"/>
          <a:ext cx="6172200" cy="466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1">
              <a:solidFill>
                <a:srgbClr val="FF0000"/>
              </a:solidFill>
            </a:rPr>
            <a:t>Dental Sealant Effectiveness must be multiplied by .40 to obtain the actual % effectiveness of preventing carious teeth amongst the total mouth of children (~20 teeth).</a:t>
          </a: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9525</xdr:colOff>
      <xdr:row>0</xdr:row>
      <xdr:rowOff>9526</xdr:rowOff>
    </xdr:from>
    <xdr:to>
      <xdr:col>1</xdr:col>
      <xdr:colOff>1000125</xdr:colOff>
      <xdr:row>1</xdr:row>
      <xdr:rowOff>552451</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 y="9526"/>
          <a:ext cx="1028700" cy="876300"/>
        </a:xfrm>
        <a:prstGeom prst="rect">
          <a:avLst/>
        </a:prstGeom>
      </xdr:spPr>
    </xdr:pic>
    <xdr:clientData/>
  </xdr:twoCellAnchor>
  <xdr:twoCellAnchor>
    <xdr:from>
      <xdr:col>14</xdr:col>
      <xdr:colOff>266700</xdr:colOff>
      <xdr:row>1</xdr:row>
      <xdr:rowOff>85725</xdr:rowOff>
    </xdr:from>
    <xdr:to>
      <xdr:col>15</xdr:col>
      <xdr:colOff>352425</xdr:colOff>
      <xdr:row>1</xdr:row>
      <xdr:rowOff>476250</xdr:rowOff>
    </xdr:to>
    <xdr:sp macro="" textlink="">
      <xdr:nvSpPr>
        <xdr:cNvPr id="4" name="Flowchart: Alternate Process 3">
          <a:hlinkClick xmlns:r="http://schemas.openxmlformats.org/officeDocument/2006/relationships" r:id="rId2"/>
        </xdr:cNvPr>
        <xdr:cNvSpPr/>
      </xdr:nvSpPr>
      <xdr:spPr>
        <a:xfrm>
          <a:off x="12553950" y="419100"/>
          <a:ext cx="1181100" cy="390525"/>
        </a:xfrm>
        <a:prstGeom prst="flowChartAlternateProcess">
          <a:avLst/>
        </a:prstGeom>
        <a:solidFill>
          <a:schemeClr val="tx2"/>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400" b="1"/>
            <a:t>NEXT</a:t>
          </a:r>
        </a:p>
      </xdr:txBody>
    </xdr:sp>
    <xdr:clientData/>
  </xdr:twoCellAnchor>
  <xdr:twoCellAnchor>
    <xdr:from>
      <xdr:col>2</xdr:col>
      <xdr:colOff>114300</xdr:colOff>
      <xdr:row>1</xdr:row>
      <xdr:rowOff>95250</xdr:rowOff>
    </xdr:from>
    <xdr:to>
      <xdr:col>3</xdr:col>
      <xdr:colOff>123825</xdr:colOff>
      <xdr:row>1</xdr:row>
      <xdr:rowOff>485775</xdr:rowOff>
    </xdr:to>
    <xdr:sp macro="" textlink="">
      <xdr:nvSpPr>
        <xdr:cNvPr id="5" name="Flowchart: Alternate Process 4">
          <a:hlinkClick xmlns:r="http://schemas.openxmlformats.org/officeDocument/2006/relationships" r:id="rId3"/>
        </xdr:cNvPr>
        <xdr:cNvSpPr/>
      </xdr:nvSpPr>
      <xdr:spPr>
        <a:xfrm>
          <a:off x="1352550" y="428625"/>
          <a:ext cx="1228725" cy="390525"/>
        </a:xfrm>
        <a:prstGeom prst="flowChartAlternateProcess">
          <a:avLst/>
        </a:prstGeom>
        <a:solidFill>
          <a:schemeClr val="tx2"/>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400" b="1"/>
            <a:t>BACK</a:t>
          </a:r>
        </a:p>
      </xdr:txBody>
    </xdr:sp>
    <xdr:clientData/>
  </xdr:twoCellAnchor>
  <xdr:twoCellAnchor>
    <xdr:from>
      <xdr:col>11</xdr:col>
      <xdr:colOff>1276350</xdr:colOff>
      <xdr:row>2</xdr:row>
      <xdr:rowOff>104775</xdr:rowOff>
    </xdr:from>
    <xdr:to>
      <xdr:col>14</xdr:col>
      <xdr:colOff>647700</xdr:colOff>
      <xdr:row>5</xdr:row>
      <xdr:rowOff>209550</xdr:rowOff>
    </xdr:to>
    <xdr:sp macro="" textlink="">
      <xdr:nvSpPr>
        <xdr:cNvPr id="3" name="TextBox 2">
          <a:hlinkClick xmlns:r="http://schemas.openxmlformats.org/officeDocument/2006/relationships" r:id="rId4"/>
        </xdr:cNvPr>
        <xdr:cNvSpPr txBox="1"/>
      </xdr:nvSpPr>
      <xdr:spPr>
        <a:xfrm>
          <a:off x="11391900" y="1028700"/>
          <a:ext cx="1676400" cy="571500"/>
        </a:xfrm>
        <a:prstGeom prst="rect">
          <a:avLst/>
        </a:prstGeom>
        <a:solidFill>
          <a:srgbClr val="C0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ctr"/>
        <a:lstStyle/>
        <a:p>
          <a:pPr algn="ctr"/>
          <a:r>
            <a:rPr lang="en-US" sz="1400" b="1">
              <a:solidFill>
                <a:sysClr val="windowText" lastClr="000000"/>
              </a:solidFill>
            </a:rPr>
            <a:t>WHAT IS DISCOUNTING?</a:t>
          </a: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419100</xdr:colOff>
      <xdr:row>2</xdr:row>
      <xdr:rowOff>9525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28700" cy="923925"/>
        </a:xfrm>
        <a:prstGeom prst="rect">
          <a:avLst/>
        </a:prstGeom>
      </xdr:spPr>
    </xdr:pic>
    <xdr:clientData/>
  </xdr:twoCellAnchor>
  <xdr:twoCellAnchor>
    <xdr:from>
      <xdr:col>12</xdr:col>
      <xdr:colOff>232834</xdr:colOff>
      <xdr:row>1</xdr:row>
      <xdr:rowOff>95250</xdr:rowOff>
    </xdr:from>
    <xdr:to>
      <xdr:col>12</xdr:col>
      <xdr:colOff>1413934</xdr:colOff>
      <xdr:row>1</xdr:row>
      <xdr:rowOff>485775</xdr:rowOff>
    </xdr:to>
    <xdr:sp macro="" textlink="">
      <xdr:nvSpPr>
        <xdr:cNvPr id="4" name="Flowchart: Alternate Process 3">
          <a:hlinkClick xmlns:r="http://schemas.openxmlformats.org/officeDocument/2006/relationships" r:id="rId2"/>
        </xdr:cNvPr>
        <xdr:cNvSpPr/>
      </xdr:nvSpPr>
      <xdr:spPr>
        <a:xfrm>
          <a:off x="13599584" y="423333"/>
          <a:ext cx="1181100" cy="390525"/>
        </a:xfrm>
        <a:prstGeom prst="flowChartAlternateProcess">
          <a:avLst/>
        </a:prstGeom>
        <a:solidFill>
          <a:schemeClr val="tx2"/>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400" b="1"/>
            <a:t>NEXT</a:t>
          </a:r>
        </a:p>
      </xdr:txBody>
    </xdr:sp>
    <xdr:clientData/>
  </xdr:twoCellAnchor>
  <xdr:twoCellAnchor>
    <xdr:from>
      <xdr:col>2</xdr:col>
      <xdr:colOff>857250</xdr:colOff>
      <xdr:row>1</xdr:row>
      <xdr:rowOff>116416</xdr:rowOff>
    </xdr:from>
    <xdr:to>
      <xdr:col>3</xdr:col>
      <xdr:colOff>756709</xdr:colOff>
      <xdr:row>1</xdr:row>
      <xdr:rowOff>506941</xdr:rowOff>
    </xdr:to>
    <xdr:sp macro="" textlink="">
      <xdr:nvSpPr>
        <xdr:cNvPr id="5" name="Flowchart: Alternate Process 4">
          <a:hlinkClick xmlns:r="http://schemas.openxmlformats.org/officeDocument/2006/relationships" r:id="rId3"/>
        </xdr:cNvPr>
        <xdr:cNvSpPr/>
      </xdr:nvSpPr>
      <xdr:spPr>
        <a:xfrm>
          <a:off x="2084917" y="444499"/>
          <a:ext cx="1285875" cy="390525"/>
        </a:xfrm>
        <a:prstGeom prst="flowChartAlternateProcess">
          <a:avLst/>
        </a:prstGeom>
        <a:solidFill>
          <a:schemeClr val="tx2"/>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400" b="1"/>
            <a:t>BACK</a:t>
          </a:r>
        </a:p>
      </xdr:txBody>
    </xdr:sp>
    <xdr:clientData/>
  </xdr:twoCellAnchor>
  <xdr:twoCellAnchor>
    <xdr:from>
      <xdr:col>11</xdr:col>
      <xdr:colOff>296333</xdr:colOff>
      <xdr:row>12</xdr:row>
      <xdr:rowOff>190500</xdr:rowOff>
    </xdr:from>
    <xdr:to>
      <xdr:col>12</xdr:col>
      <xdr:colOff>491066</xdr:colOff>
      <xdr:row>16</xdr:row>
      <xdr:rowOff>84667</xdr:rowOff>
    </xdr:to>
    <xdr:sp macro="" textlink="">
      <xdr:nvSpPr>
        <xdr:cNvPr id="8" name="TextBox 7">
          <a:hlinkClick xmlns:r="http://schemas.openxmlformats.org/officeDocument/2006/relationships" r:id="rId4"/>
        </xdr:cNvPr>
        <xdr:cNvSpPr txBox="1"/>
      </xdr:nvSpPr>
      <xdr:spPr>
        <a:xfrm>
          <a:off x="12329583" y="4349750"/>
          <a:ext cx="1676400" cy="762000"/>
        </a:xfrm>
        <a:prstGeom prst="rect">
          <a:avLst/>
        </a:prstGeom>
        <a:solidFill>
          <a:srgbClr val="C0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ctr"/>
        <a:lstStyle/>
        <a:p>
          <a:pPr algn="ctr"/>
          <a:r>
            <a:rPr lang="en-US" sz="1400" b="1">
              <a:solidFill>
                <a:sysClr val="windowText" lastClr="000000"/>
              </a:solidFill>
            </a:rPr>
            <a:t>WHAT DOES THIS DATA MEAN?</a:t>
          </a: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0</xdr:colOff>
      <xdr:row>2</xdr:row>
      <xdr:rowOff>28575</xdr:rowOff>
    </xdr:to>
    <xdr:pic>
      <xdr:nvPicPr>
        <xdr:cNvPr id="6" name="Picture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1028700" cy="923925"/>
        </a:xfrm>
        <a:prstGeom prst="rect">
          <a:avLst/>
        </a:prstGeom>
      </xdr:spPr>
    </xdr:pic>
    <xdr:clientData/>
  </xdr:twoCellAnchor>
  <xdr:twoCellAnchor>
    <xdr:from>
      <xdr:col>20</xdr:col>
      <xdr:colOff>323849</xdr:colOff>
      <xdr:row>1</xdr:row>
      <xdr:rowOff>76200</xdr:rowOff>
    </xdr:from>
    <xdr:to>
      <xdr:col>22</xdr:col>
      <xdr:colOff>9524</xdr:colOff>
      <xdr:row>1</xdr:row>
      <xdr:rowOff>466725</xdr:rowOff>
    </xdr:to>
    <xdr:sp macro="" textlink="">
      <xdr:nvSpPr>
        <xdr:cNvPr id="7" name="Flowchart: Alternate Process 6">
          <a:hlinkClick xmlns:r="http://schemas.openxmlformats.org/officeDocument/2006/relationships" r:id="rId2"/>
        </xdr:cNvPr>
        <xdr:cNvSpPr/>
      </xdr:nvSpPr>
      <xdr:spPr>
        <a:xfrm>
          <a:off x="12515849" y="400050"/>
          <a:ext cx="904875" cy="390525"/>
        </a:xfrm>
        <a:prstGeom prst="flowChartAlternateProcess">
          <a:avLst/>
        </a:prstGeom>
        <a:solidFill>
          <a:schemeClr val="tx2"/>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400" b="1"/>
            <a:t>NEXT </a:t>
          </a:r>
        </a:p>
      </xdr:txBody>
    </xdr:sp>
    <xdr:clientData/>
  </xdr:twoCellAnchor>
  <xdr:twoCellAnchor>
    <xdr:from>
      <xdr:col>2</xdr:col>
      <xdr:colOff>314325</xdr:colOff>
      <xdr:row>1</xdr:row>
      <xdr:rowOff>57150</xdr:rowOff>
    </xdr:from>
    <xdr:to>
      <xdr:col>4</xdr:col>
      <xdr:colOff>66675</xdr:colOff>
      <xdr:row>1</xdr:row>
      <xdr:rowOff>447675</xdr:rowOff>
    </xdr:to>
    <xdr:sp macro="" textlink="">
      <xdr:nvSpPr>
        <xdr:cNvPr id="8" name="Flowchart: Alternate Process 7">
          <a:hlinkClick xmlns:r="http://schemas.openxmlformats.org/officeDocument/2006/relationships" r:id="rId3"/>
        </xdr:cNvPr>
        <xdr:cNvSpPr/>
      </xdr:nvSpPr>
      <xdr:spPr>
        <a:xfrm>
          <a:off x="1533525" y="381000"/>
          <a:ext cx="971550" cy="390525"/>
        </a:xfrm>
        <a:prstGeom prst="flowChartAlternateProcess">
          <a:avLst/>
        </a:prstGeom>
        <a:solidFill>
          <a:schemeClr val="tx2"/>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400" b="1"/>
            <a:t>BACK</a:t>
          </a:r>
        </a:p>
      </xdr:txBody>
    </xdr:sp>
    <xdr:clientData/>
  </xdr:twoCellAnchor>
  <xdr:twoCellAnchor>
    <xdr:from>
      <xdr:col>4</xdr:col>
      <xdr:colOff>476250</xdr:colOff>
      <xdr:row>6</xdr:row>
      <xdr:rowOff>66674</xdr:rowOff>
    </xdr:from>
    <xdr:to>
      <xdr:col>19</xdr:col>
      <xdr:colOff>161925</xdr:colOff>
      <xdr:row>33</xdr:row>
      <xdr:rowOff>123825</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847725</xdr:colOff>
      <xdr:row>0</xdr:row>
      <xdr:rowOff>104775</xdr:rowOff>
    </xdr:from>
    <xdr:to>
      <xdr:col>3</xdr:col>
      <xdr:colOff>28575</xdr:colOff>
      <xdr:row>2</xdr:row>
      <xdr:rowOff>114300</xdr:rowOff>
    </xdr:to>
    <xdr:sp macro="" textlink="">
      <xdr:nvSpPr>
        <xdr:cNvPr id="2" name="Flowchart: Alternate Process 1">
          <a:hlinkClick xmlns:r="http://schemas.openxmlformats.org/officeDocument/2006/relationships" r:id="rId1"/>
        </xdr:cNvPr>
        <xdr:cNvSpPr/>
      </xdr:nvSpPr>
      <xdr:spPr>
        <a:xfrm>
          <a:off x="847725" y="104775"/>
          <a:ext cx="1457325" cy="390525"/>
        </a:xfrm>
        <a:prstGeom prst="flowChartAlternateProcess">
          <a:avLst/>
        </a:prstGeom>
        <a:solidFill>
          <a:schemeClr val="tx2"/>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400" b="1"/>
            <a:t>BACK</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847725</xdr:colOff>
      <xdr:row>0</xdr:row>
      <xdr:rowOff>104775</xdr:rowOff>
    </xdr:from>
    <xdr:to>
      <xdr:col>3</xdr:col>
      <xdr:colOff>28575</xdr:colOff>
      <xdr:row>2</xdr:row>
      <xdr:rowOff>114300</xdr:rowOff>
    </xdr:to>
    <xdr:sp macro="" textlink="">
      <xdr:nvSpPr>
        <xdr:cNvPr id="2" name="Flowchart: Alternate Process 1">
          <a:hlinkClick xmlns:r="http://schemas.openxmlformats.org/officeDocument/2006/relationships" r:id="rId1"/>
        </xdr:cNvPr>
        <xdr:cNvSpPr/>
      </xdr:nvSpPr>
      <xdr:spPr>
        <a:xfrm>
          <a:off x="1457325" y="104775"/>
          <a:ext cx="1104900" cy="390525"/>
        </a:xfrm>
        <a:prstGeom prst="flowChartAlternateProcess">
          <a:avLst/>
        </a:prstGeom>
        <a:solidFill>
          <a:schemeClr val="tx2"/>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400" b="1"/>
            <a:t>BACK</a:t>
          </a:r>
        </a:p>
      </xdr:txBody>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419100</xdr:colOff>
      <xdr:row>2</xdr:row>
      <xdr:rowOff>9525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28700" cy="923925"/>
        </a:xfrm>
        <a:prstGeom prst="rect">
          <a:avLst/>
        </a:prstGeom>
      </xdr:spPr>
    </xdr:pic>
    <xdr:clientData/>
  </xdr:twoCellAnchor>
  <xdr:twoCellAnchor>
    <xdr:from>
      <xdr:col>12</xdr:col>
      <xdr:colOff>409575</xdr:colOff>
      <xdr:row>1</xdr:row>
      <xdr:rowOff>142875</xdr:rowOff>
    </xdr:from>
    <xdr:to>
      <xdr:col>13</xdr:col>
      <xdr:colOff>561975</xdr:colOff>
      <xdr:row>1</xdr:row>
      <xdr:rowOff>533400</xdr:rowOff>
    </xdr:to>
    <xdr:sp macro="" textlink="">
      <xdr:nvSpPr>
        <xdr:cNvPr id="4" name="Flowchart: Alternate Process 3">
          <a:hlinkClick xmlns:r="http://schemas.openxmlformats.org/officeDocument/2006/relationships" r:id="rId2"/>
        </xdr:cNvPr>
        <xdr:cNvSpPr/>
      </xdr:nvSpPr>
      <xdr:spPr>
        <a:xfrm>
          <a:off x="13868400" y="466725"/>
          <a:ext cx="1181100" cy="390525"/>
        </a:xfrm>
        <a:prstGeom prst="flowChartAlternateProcess">
          <a:avLst/>
        </a:prstGeom>
        <a:solidFill>
          <a:schemeClr val="tx2"/>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400" b="1"/>
            <a:t>NEXT</a:t>
          </a:r>
        </a:p>
      </xdr:txBody>
    </xdr:sp>
    <xdr:clientData/>
  </xdr:twoCellAnchor>
  <xdr:twoCellAnchor>
    <xdr:from>
      <xdr:col>1</xdr:col>
      <xdr:colOff>457200</xdr:colOff>
      <xdr:row>1</xdr:row>
      <xdr:rowOff>95250</xdr:rowOff>
    </xdr:from>
    <xdr:to>
      <xdr:col>3</xdr:col>
      <xdr:colOff>809625</xdr:colOff>
      <xdr:row>1</xdr:row>
      <xdr:rowOff>485775</xdr:rowOff>
    </xdr:to>
    <xdr:sp macro="" textlink="">
      <xdr:nvSpPr>
        <xdr:cNvPr id="6" name="Flowchart: Alternate Process 5">
          <a:hlinkClick xmlns:r="http://schemas.openxmlformats.org/officeDocument/2006/relationships" r:id="rId3"/>
        </xdr:cNvPr>
        <xdr:cNvSpPr/>
      </xdr:nvSpPr>
      <xdr:spPr>
        <a:xfrm>
          <a:off x="1066800" y="419100"/>
          <a:ext cx="1133475" cy="390525"/>
        </a:xfrm>
        <a:prstGeom prst="flowChartAlternateProcess">
          <a:avLst/>
        </a:prstGeom>
        <a:solidFill>
          <a:schemeClr val="tx2"/>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400" b="1"/>
            <a:t>BACK</a:t>
          </a:r>
        </a:p>
      </xdr:txBody>
    </xdr:sp>
    <xdr:clientData/>
  </xdr:twoCellAnchor>
  <xdr:twoCellAnchor>
    <xdr:from>
      <xdr:col>12</xdr:col>
      <xdr:colOff>76200</xdr:colOff>
      <xdr:row>8</xdr:row>
      <xdr:rowOff>1000125</xdr:rowOff>
    </xdr:from>
    <xdr:to>
      <xdr:col>13</xdr:col>
      <xdr:colOff>723900</xdr:colOff>
      <xdr:row>9</xdr:row>
      <xdr:rowOff>200025</xdr:rowOff>
    </xdr:to>
    <xdr:sp macro="" textlink="">
      <xdr:nvSpPr>
        <xdr:cNvPr id="7" name="TextBox 6">
          <a:hlinkClick xmlns:r="http://schemas.openxmlformats.org/officeDocument/2006/relationships" r:id="rId4"/>
        </xdr:cNvPr>
        <xdr:cNvSpPr txBox="1"/>
      </xdr:nvSpPr>
      <xdr:spPr>
        <a:xfrm>
          <a:off x="13535025" y="3028950"/>
          <a:ext cx="1676400" cy="571500"/>
        </a:xfrm>
        <a:prstGeom prst="rect">
          <a:avLst/>
        </a:prstGeom>
        <a:solidFill>
          <a:srgbClr val="C0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ctr"/>
        <a:lstStyle/>
        <a:p>
          <a:pPr algn="ctr"/>
          <a:r>
            <a:rPr lang="en-US" sz="1400" b="1">
              <a:solidFill>
                <a:sysClr val="windowText" lastClr="000000"/>
              </a:solidFill>
            </a:rPr>
            <a:t>ACTUAL</a:t>
          </a:r>
          <a:r>
            <a:rPr lang="en-US" sz="1400" b="1" baseline="0">
              <a:solidFill>
                <a:sysClr val="windowText" lastClr="000000"/>
              </a:solidFill>
            </a:rPr>
            <a:t> PREVENTION COST</a:t>
          </a:r>
          <a:endParaRPr lang="en-US" sz="1400" b="1">
            <a:solidFill>
              <a:sysClr val="windowText" lastClr="000000"/>
            </a:solidFill>
          </a:endParaRPr>
        </a:p>
      </xdr:txBody>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857250</xdr:colOff>
      <xdr:row>2</xdr:row>
      <xdr:rowOff>28575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1028700" cy="923925"/>
        </a:xfrm>
        <a:prstGeom prst="rect">
          <a:avLst/>
        </a:prstGeom>
      </xdr:spPr>
    </xdr:pic>
    <xdr:clientData/>
  </xdr:twoCellAnchor>
  <xdr:twoCellAnchor>
    <xdr:from>
      <xdr:col>1</xdr:col>
      <xdr:colOff>1190625</xdr:colOff>
      <xdr:row>1</xdr:row>
      <xdr:rowOff>76200</xdr:rowOff>
    </xdr:from>
    <xdr:to>
      <xdr:col>2</xdr:col>
      <xdr:colOff>942975</xdr:colOff>
      <xdr:row>1</xdr:row>
      <xdr:rowOff>466725</xdr:rowOff>
    </xdr:to>
    <xdr:sp macro="" textlink="">
      <xdr:nvSpPr>
        <xdr:cNvPr id="3" name="Flowchart: Alternate Process 2">
          <a:hlinkClick xmlns:r="http://schemas.openxmlformats.org/officeDocument/2006/relationships" r:id="rId2"/>
        </xdr:cNvPr>
        <xdr:cNvSpPr/>
      </xdr:nvSpPr>
      <xdr:spPr>
        <a:xfrm>
          <a:off x="1362075" y="400050"/>
          <a:ext cx="1133475" cy="390525"/>
        </a:xfrm>
        <a:prstGeom prst="flowChartAlternateProcess">
          <a:avLst/>
        </a:prstGeom>
        <a:solidFill>
          <a:schemeClr val="tx2"/>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400" b="1"/>
            <a:t>BACK</a:t>
          </a:r>
        </a:p>
      </xdr:txBody>
    </xdr:sp>
    <xdr:clientData/>
  </xdr:twoCellAnchor>
  <xdr:twoCellAnchor>
    <xdr:from>
      <xdr:col>10</xdr:col>
      <xdr:colOff>85725</xdr:colOff>
      <xdr:row>1</xdr:row>
      <xdr:rowOff>95250</xdr:rowOff>
    </xdr:from>
    <xdr:to>
      <xdr:col>11</xdr:col>
      <xdr:colOff>238125</xdr:colOff>
      <xdr:row>1</xdr:row>
      <xdr:rowOff>485775</xdr:rowOff>
    </xdr:to>
    <xdr:sp macro="" textlink="">
      <xdr:nvSpPr>
        <xdr:cNvPr id="4" name="Flowchart: Alternate Process 3">
          <a:hlinkClick xmlns:r="http://schemas.openxmlformats.org/officeDocument/2006/relationships" r:id="rId3"/>
        </xdr:cNvPr>
        <xdr:cNvSpPr/>
      </xdr:nvSpPr>
      <xdr:spPr>
        <a:xfrm>
          <a:off x="12353925" y="419100"/>
          <a:ext cx="1181100" cy="390525"/>
        </a:xfrm>
        <a:prstGeom prst="flowChartAlternateProcess">
          <a:avLst/>
        </a:prstGeom>
        <a:solidFill>
          <a:schemeClr val="tx2"/>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400" b="1"/>
            <a:t>HOME</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0</xdr:row>
      <xdr:rowOff>28575</xdr:rowOff>
    </xdr:from>
    <xdr:to>
      <xdr:col>2</xdr:col>
      <xdr:colOff>328180</xdr:colOff>
      <xdr:row>1</xdr:row>
      <xdr:rowOff>561975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 y="28575"/>
          <a:ext cx="1137805" cy="857250"/>
        </a:xfrm>
        <a:prstGeom prst="rect">
          <a:avLst/>
        </a:prstGeom>
      </xdr:spPr>
    </xdr:pic>
    <xdr:clientData/>
  </xdr:twoCellAnchor>
  <xdr:twoCellAnchor>
    <xdr:from>
      <xdr:col>15</xdr:col>
      <xdr:colOff>304800</xdr:colOff>
      <xdr:row>1</xdr:row>
      <xdr:rowOff>95250</xdr:rowOff>
    </xdr:from>
    <xdr:to>
      <xdr:col>17</xdr:col>
      <xdr:colOff>266700</xdr:colOff>
      <xdr:row>1</xdr:row>
      <xdr:rowOff>485775</xdr:rowOff>
    </xdr:to>
    <xdr:sp macro="" textlink="">
      <xdr:nvSpPr>
        <xdr:cNvPr id="3" name="Flowchart: Alternate Process 2">
          <a:hlinkClick xmlns:r="http://schemas.openxmlformats.org/officeDocument/2006/relationships" r:id="rId2"/>
        </xdr:cNvPr>
        <xdr:cNvSpPr/>
      </xdr:nvSpPr>
      <xdr:spPr>
        <a:xfrm>
          <a:off x="12382500" y="419100"/>
          <a:ext cx="1181100" cy="390525"/>
        </a:xfrm>
        <a:prstGeom prst="flowChartAlternateProcess">
          <a:avLst/>
        </a:prstGeom>
        <a:solidFill>
          <a:schemeClr val="tx2"/>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400" b="1"/>
            <a:t>NEXT</a:t>
          </a:r>
        </a:p>
      </xdr:txBody>
    </xdr:sp>
    <xdr:clientData/>
  </xdr:twoCellAnchor>
  <xdr:twoCellAnchor>
    <xdr:from>
      <xdr:col>3</xdr:col>
      <xdr:colOff>457200</xdr:colOff>
      <xdr:row>1</xdr:row>
      <xdr:rowOff>76200</xdr:rowOff>
    </xdr:from>
    <xdr:to>
      <xdr:col>4</xdr:col>
      <xdr:colOff>1133475</xdr:colOff>
      <xdr:row>1</xdr:row>
      <xdr:rowOff>466725</xdr:rowOff>
    </xdr:to>
    <xdr:sp macro="" textlink="">
      <xdr:nvSpPr>
        <xdr:cNvPr id="4" name="Flowchart: Alternate Process 3">
          <a:hlinkClick xmlns:r="http://schemas.openxmlformats.org/officeDocument/2006/relationships" r:id="rId3"/>
        </xdr:cNvPr>
        <xdr:cNvSpPr/>
      </xdr:nvSpPr>
      <xdr:spPr>
        <a:xfrm>
          <a:off x="1895475" y="400050"/>
          <a:ext cx="1285875" cy="390525"/>
        </a:xfrm>
        <a:prstGeom prst="flowChartAlternateProcess">
          <a:avLst/>
        </a:prstGeom>
        <a:solidFill>
          <a:schemeClr val="tx2"/>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400" b="1"/>
            <a:t>BACK</a:t>
          </a:r>
        </a:p>
      </xdr:txBody>
    </xdr:sp>
    <xdr:clientData/>
  </xdr:twoCellAnchor>
  <xdr:twoCellAnchor>
    <xdr:from>
      <xdr:col>5</xdr:col>
      <xdr:colOff>0</xdr:colOff>
      <xdr:row>5</xdr:row>
      <xdr:rowOff>0</xdr:rowOff>
    </xdr:from>
    <xdr:to>
      <xdr:col>6</xdr:col>
      <xdr:colOff>66675</xdr:colOff>
      <xdr:row>7</xdr:row>
      <xdr:rowOff>9525</xdr:rowOff>
    </xdr:to>
    <xdr:sp macro="" textlink="">
      <xdr:nvSpPr>
        <xdr:cNvPr id="6" name="Flowchart: Alternate Process 5">
          <a:hlinkClick xmlns:r="http://schemas.openxmlformats.org/officeDocument/2006/relationships" r:id="rId2"/>
        </xdr:cNvPr>
        <xdr:cNvSpPr/>
      </xdr:nvSpPr>
      <xdr:spPr>
        <a:xfrm>
          <a:off x="3238500" y="1514475"/>
          <a:ext cx="1076325" cy="390525"/>
        </a:xfrm>
        <a:prstGeom prst="flowChartAlternateProcess">
          <a:avLst/>
        </a:prstGeom>
        <a:solidFill>
          <a:schemeClr val="tx2"/>
        </a:solidFill>
        <a:ln>
          <a:solidFill>
            <a:srgbClr val="C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2400" b="1"/>
            <a:t>START</a:t>
          </a:r>
        </a:p>
      </xdr:txBody>
    </xdr:sp>
    <xdr:clientData/>
  </xdr:twoCellAnchor>
  <xdr:twoCellAnchor>
    <xdr:from>
      <xdr:col>5</xdr:col>
      <xdr:colOff>0</xdr:colOff>
      <xdr:row>9</xdr:row>
      <xdr:rowOff>0</xdr:rowOff>
    </xdr:from>
    <xdr:to>
      <xdr:col>6</xdr:col>
      <xdr:colOff>66675</xdr:colOff>
      <xdr:row>10</xdr:row>
      <xdr:rowOff>190500</xdr:rowOff>
    </xdr:to>
    <xdr:sp macro="" textlink="">
      <xdr:nvSpPr>
        <xdr:cNvPr id="7" name="Flowchart: Alternate Process 6">
          <a:hlinkClick xmlns:r="http://schemas.openxmlformats.org/officeDocument/2006/relationships" r:id="rId2"/>
        </xdr:cNvPr>
        <xdr:cNvSpPr/>
      </xdr:nvSpPr>
      <xdr:spPr>
        <a:xfrm>
          <a:off x="3238500" y="2276475"/>
          <a:ext cx="1076325" cy="390525"/>
        </a:xfrm>
        <a:prstGeom prst="flowChartAlternateProcess">
          <a:avLst/>
        </a:prstGeom>
        <a:solidFill>
          <a:schemeClr val="tx2"/>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400" b="1"/>
            <a:t>NEXT</a:t>
          </a:r>
        </a:p>
      </xdr:txBody>
    </xdr:sp>
    <xdr:clientData/>
  </xdr:twoCellAnchor>
  <xdr:twoCellAnchor>
    <xdr:from>
      <xdr:col>5</xdr:col>
      <xdr:colOff>1</xdr:colOff>
      <xdr:row>12</xdr:row>
      <xdr:rowOff>0</xdr:rowOff>
    </xdr:from>
    <xdr:to>
      <xdr:col>6</xdr:col>
      <xdr:colOff>57150</xdr:colOff>
      <xdr:row>14</xdr:row>
      <xdr:rowOff>9525</xdr:rowOff>
    </xdr:to>
    <xdr:sp macro="" textlink="">
      <xdr:nvSpPr>
        <xdr:cNvPr id="8" name="Flowchart: Alternate Process 7">
          <a:hlinkClick xmlns:r="http://schemas.openxmlformats.org/officeDocument/2006/relationships" r:id="rId3"/>
        </xdr:cNvPr>
        <xdr:cNvSpPr/>
      </xdr:nvSpPr>
      <xdr:spPr>
        <a:xfrm>
          <a:off x="3238501" y="2952750"/>
          <a:ext cx="1066799" cy="390525"/>
        </a:xfrm>
        <a:prstGeom prst="flowChartAlternateProcess">
          <a:avLst/>
        </a:prstGeom>
        <a:solidFill>
          <a:schemeClr val="tx2"/>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400" b="1"/>
            <a:t>BACK</a:t>
          </a:r>
        </a:p>
      </xdr:txBody>
    </xdr:sp>
    <xdr:clientData/>
  </xdr:twoCellAnchor>
  <xdr:twoCellAnchor>
    <xdr:from>
      <xdr:col>5</xdr:col>
      <xdr:colOff>0</xdr:colOff>
      <xdr:row>16</xdr:row>
      <xdr:rowOff>0</xdr:rowOff>
    </xdr:from>
    <xdr:to>
      <xdr:col>6</xdr:col>
      <xdr:colOff>47625</xdr:colOff>
      <xdr:row>18</xdr:row>
      <xdr:rowOff>9525</xdr:rowOff>
    </xdr:to>
    <xdr:sp macro="" textlink="">
      <xdr:nvSpPr>
        <xdr:cNvPr id="10" name="Flowchart: Alternate Process 9">
          <a:hlinkClick xmlns:r="http://schemas.openxmlformats.org/officeDocument/2006/relationships" r:id="rId3"/>
        </xdr:cNvPr>
        <xdr:cNvSpPr/>
      </xdr:nvSpPr>
      <xdr:spPr>
        <a:xfrm>
          <a:off x="3238500" y="3714750"/>
          <a:ext cx="1057275" cy="390525"/>
        </a:xfrm>
        <a:prstGeom prst="flowChartAlternateProcess">
          <a:avLst/>
        </a:prstGeom>
        <a:solidFill>
          <a:schemeClr val="tx2"/>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400" b="1"/>
            <a:t>HOME</a:t>
          </a:r>
        </a:p>
      </xdr:txBody>
    </xdr:sp>
    <xdr:clientData/>
  </xdr:twoCellAnchor>
  <xdr:twoCellAnchor>
    <xdr:from>
      <xdr:col>5</xdr:col>
      <xdr:colOff>1</xdr:colOff>
      <xdr:row>26</xdr:row>
      <xdr:rowOff>0</xdr:rowOff>
    </xdr:from>
    <xdr:to>
      <xdr:col>6</xdr:col>
      <xdr:colOff>57150</xdr:colOff>
      <xdr:row>29</xdr:row>
      <xdr:rowOff>0</xdr:rowOff>
    </xdr:to>
    <xdr:sp macro="" textlink="">
      <xdr:nvSpPr>
        <xdr:cNvPr id="9" name="TextBox 8">
          <a:hlinkClick xmlns:r="http://schemas.openxmlformats.org/officeDocument/2006/relationships" r:id="rId4"/>
        </xdr:cNvPr>
        <xdr:cNvSpPr txBox="1"/>
      </xdr:nvSpPr>
      <xdr:spPr>
        <a:xfrm>
          <a:off x="3238501" y="5886450"/>
          <a:ext cx="1066799" cy="571500"/>
        </a:xfrm>
        <a:prstGeom prst="rect">
          <a:avLst/>
        </a:prstGeom>
        <a:solidFill>
          <a:srgbClr val="C0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ctr"/>
        <a:lstStyle/>
        <a:p>
          <a:pPr algn="ctr"/>
          <a:r>
            <a:rPr lang="en-US" sz="1100" b="1">
              <a:solidFill>
                <a:sysClr val="windowText" lastClr="000000"/>
              </a:solidFill>
            </a:rPr>
            <a:t>ADDITIONAL INFORMATION</a:t>
          </a:r>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666750</xdr:colOff>
      <xdr:row>2</xdr:row>
      <xdr:rowOff>9525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28700" cy="923925"/>
        </a:xfrm>
        <a:prstGeom prst="rect">
          <a:avLst/>
        </a:prstGeom>
      </xdr:spPr>
    </xdr:pic>
    <xdr:clientData/>
  </xdr:twoCellAnchor>
  <xdr:twoCellAnchor>
    <xdr:from>
      <xdr:col>11</xdr:col>
      <xdr:colOff>409575</xdr:colOff>
      <xdr:row>1</xdr:row>
      <xdr:rowOff>142875</xdr:rowOff>
    </xdr:from>
    <xdr:to>
      <xdr:col>12</xdr:col>
      <xdr:colOff>561975</xdr:colOff>
      <xdr:row>1</xdr:row>
      <xdr:rowOff>533400</xdr:rowOff>
    </xdr:to>
    <xdr:sp macro="" textlink="">
      <xdr:nvSpPr>
        <xdr:cNvPr id="3" name="Flowchart: Alternate Process 2">
          <a:hlinkClick xmlns:r="http://schemas.openxmlformats.org/officeDocument/2006/relationships" r:id="rId2"/>
        </xdr:cNvPr>
        <xdr:cNvSpPr/>
      </xdr:nvSpPr>
      <xdr:spPr>
        <a:xfrm>
          <a:off x="13868400" y="466725"/>
          <a:ext cx="1181100" cy="390525"/>
        </a:xfrm>
        <a:prstGeom prst="flowChartAlternateProcess">
          <a:avLst/>
        </a:prstGeom>
        <a:solidFill>
          <a:schemeClr val="tx2"/>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400" b="1"/>
            <a:t>NEXT</a:t>
          </a:r>
        </a:p>
      </xdr:txBody>
    </xdr:sp>
    <xdr:clientData/>
  </xdr:twoCellAnchor>
  <xdr:twoCellAnchor>
    <xdr:from>
      <xdr:col>1</xdr:col>
      <xdr:colOff>866775</xdr:colOff>
      <xdr:row>1</xdr:row>
      <xdr:rowOff>95250</xdr:rowOff>
    </xdr:from>
    <xdr:to>
      <xdr:col>2</xdr:col>
      <xdr:colOff>590551</xdr:colOff>
      <xdr:row>1</xdr:row>
      <xdr:rowOff>485775</xdr:rowOff>
    </xdr:to>
    <xdr:sp macro="" textlink="">
      <xdr:nvSpPr>
        <xdr:cNvPr id="4" name="Flowchart: Alternate Process 3">
          <a:hlinkClick xmlns:r="http://schemas.openxmlformats.org/officeDocument/2006/relationships" r:id="rId3"/>
        </xdr:cNvPr>
        <xdr:cNvSpPr/>
      </xdr:nvSpPr>
      <xdr:spPr>
        <a:xfrm>
          <a:off x="1228725" y="419100"/>
          <a:ext cx="1114426" cy="390525"/>
        </a:xfrm>
        <a:prstGeom prst="flowChartAlternateProcess">
          <a:avLst/>
        </a:prstGeom>
        <a:solidFill>
          <a:schemeClr val="tx2"/>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400" b="1"/>
            <a:t>BACK</a:t>
          </a:r>
        </a:p>
      </xdr:txBody>
    </xdr:sp>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666750</xdr:colOff>
      <xdr:row>2</xdr:row>
      <xdr:rowOff>9525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28700" cy="923925"/>
        </a:xfrm>
        <a:prstGeom prst="rect">
          <a:avLst/>
        </a:prstGeom>
      </xdr:spPr>
    </xdr:pic>
    <xdr:clientData/>
  </xdr:twoCellAnchor>
  <xdr:twoCellAnchor>
    <xdr:from>
      <xdr:col>11</xdr:col>
      <xdr:colOff>409575</xdr:colOff>
      <xdr:row>1</xdr:row>
      <xdr:rowOff>142875</xdr:rowOff>
    </xdr:from>
    <xdr:to>
      <xdr:col>12</xdr:col>
      <xdr:colOff>561975</xdr:colOff>
      <xdr:row>1</xdr:row>
      <xdr:rowOff>533400</xdr:rowOff>
    </xdr:to>
    <xdr:sp macro="" textlink="">
      <xdr:nvSpPr>
        <xdr:cNvPr id="3" name="Flowchart: Alternate Process 2">
          <a:hlinkClick xmlns:r="http://schemas.openxmlformats.org/officeDocument/2006/relationships" r:id="rId2"/>
        </xdr:cNvPr>
        <xdr:cNvSpPr/>
      </xdr:nvSpPr>
      <xdr:spPr>
        <a:xfrm>
          <a:off x="13106400" y="466725"/>
          <a:ext cx="1333500" cy="390525"/>
        </a:xfrm>
        <a:prstGeom prst="flowChartAlternateProcess">
          <a:avLst/>
        </a:prstGeom>
        <a:solidFill>
          <a:schemeClr val="tx2"/>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400" b="1"/>
            <a:t>HOME</a:t>
          </a:r>
        </a:p>
      </xdr:txBody>
    </xdr:sp>
    <xdr:clientData/>
  </xdr:twoCellAnchor>
  <xdr:twoCellAnchor>
    <xdr:from>
      <xdr:col>1</xdr:col>
      <xdr:colOff>866775</xdr:colOff>
      <xdr:row>1</xdr:row>
      <xdr:rowOff>95250</xdr:rowOff>
    </xdr:from>
    <xdr:to>
      <xdr:col>2</xdr:col>
      <xdr:colOff>590551</xdr:colOff>
      <xdr:row>1</xdr:row>
      <xdr:rowOff>485775</xdr:rowOff>
    </xdr:to>
    <xdr:sp macro="" textlink="">
      <xdr:nvSpPr>
        <xdr:cNvPr id="4" name="Flowchart: Alternate Process 3">
          <a:hlinkClick xmlns:r="http://schemas.openxmlformats.org/officeDocument/2006/relationships" r:id="rId3"/>
        </xdr:cNvPr>
        <xdr:cNvSpPr/>
      </xdr:nvSpPr>
      <xdr:spPr>
        <a:xfrm>
          <a:off x="1228725" y="419100"/>
          <a:ext cx="1114426" cy="390525"/>
        </a:xfrm>
        <a:prstGeom prst="flowChartAlternateProcess">
          <a:avLst/>
        </a:prstGeom>
        <a:solidFill>
          <a:schemeClr val="tx2"/>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400" b="1"/>
            <a:t>BACK</a:t>
          </a:r>
        </a:p>
      </xdr:txBody>
    </xdr:sp>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0</xdr:colOff>
      <xdr:row>2</xdr:row>
      <xdr:rowOff>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1219200" cy="923925"/>
        </a:xfrm>
        <a:prstGeom prst="rect">
          <a:avLst/>
        </a:prstGeom>
      </xdr:spPr>
    </xdr:pic>
    <xdr:clientData/>
  </xdr:twoCellAnchor>
  <xdr:twoCellAnchor>
    <xdr:from>
      <xdr:col>3</xdr:col>
      <xdr:colOff>66675</xdr:colOff>
      <xdr:row>1</xdr:row>
      <xdr:rowOff>85725</xdr:rowOff>
    </xdr:from>
    <xdr:to>
      <xdr:col>5</xdr:col>
      <xdr:colOff>133350</xdr:colOff>
      <xdr:row>1</xdr:row>
      <xdr:rowOff>476250</xdr:rowOff>
    </xdr:to>
    <xdr:sp macro="" textlink="">
      <xdr:nvSpPr>
        <xdr:cNvPr id="3" name="Flowchart: Alternate Process 2">
          <a:hlinkClick xmlns:r="http://schemas.openxmlformats.org/officeDocument/2006/relationships" r:id="rId2"/>
        </xdr:cNvPr>
        <xdr:cNvSpPr/>
      </xdr:nvSpPr>
      <xdr:spPr>
        <a:xfrm>
          <a:off x="1895475" y="533400"/>
          <a:ext cx="1285875" cy="390525"/>
        </a:xfrm>
        <a:prstGeom prst="flowChartAlternateProcess">
          <a:avLst/>
        </a:prstGeom>
        <a:solidFill>
          <a:schemeClr val="tx2"/>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400" b="1"/>
            <a:t>BACK</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847725</xdr:colOff>
      <xdr:row>0</xdr:row>
      <xdr:rowOff>104775</xdr:rowOff>
    </xdr:from>
    <xdr:to>
      <xdr:col>2</xdr:col>
      <xdr:colOff>28575</xdr:colOff>
      <xdr:row>2</xdr:row>
      <xdr:rowOff>114300</xdr:rowOff>
    </xdr:to>
    <xdr:sp macro="" textlink="">
      <xdr:nvSpPr>
        <xdr:cNvPr id="4" name="Flowchart: Alternate Process 3">
          <a:hlinkClick xmlns:r="http://schemas.openxmlformats.org/officeDocument/2006/relationships" r:id="rId1"/>
        </xdr:cNvPr>
        <xdr:cNvSpPr/>
      </xdr:nvSpPr>
      <xdr:spPr>
        <a:xfrm>
          <a:off x="847725" y="104775"/>
          <a:ext cx="1285875" cy="390525"/>
        </a:xfrm>
        <a:prstGeom prst="flowChartAlternateProcess">
          <a:avLst/>
        </a:prstGeom>
        <a:solidFill>
          <a:schemeClr val="tx2"/>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400" b="1"/>
            <a:t>BACK</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485775</xdr:colOff>
      <xdr:row>0</xdr:row>
      <xdr:rowOff>19050</xdr:rowOff>
    </xdr:from>
    <xdr:to>
      <xdr:col>1</xdr:col>
      <xdr:colOff>466725</xdr:colOff>
      <xdr:row>2</xdr:row>
      <xdr:rowOff>28575</xdr:rowOff>
    </xdr:to>
    <xdr:sp macro="" textlink="">
      <xdr:nvSpPr>
        <xdr:cNvPr id="2" name="Flowchart: Alternate Process 1">
          <a:hlinkClick xmlns:r="http://schemas.openxmlformats.org/officeDocument/2006/relationships" r:id="rId1" tooltip="back to summary"/>
        </xdr:cNvPr>
        <xdr:cNvSpPr/>
      </xdr:nvSpPr>
      <xdr:spPr>
        <a:xfrm>
          <a:off x="485775" y="19050"/>
          <a:ext cx="1133475" cy="390525"/>
        </a:xfrm>
        <a:prstGeom prst="flowChartAlternateProcess">
          <a:avLst/>
        </a:prstGeom>
        <a:solidFill>
          <a:schemeClr val="tx2"/>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400" b="1"/>
            <a:t>BACK</a:t>
          </a:r>
        </a:p>
      </xdr:txBody>
    </xdr:sp>
    <xdr:clientData/>
  </xdr:twoCellAnchor>
  <xdr:twoCellAnchor>
    <xdr:from>
      <xdr:col>11</xdr:col>
      <xdr:colOff>457200</xdr:colOff>
      <xdr:row>0</xdr:row>
      <xdr:rowOff>0</xdr:rowOff>
    </xdr:from>
    <xdr:to>
      <xdr:col>12</xdr:col>
      <xdr:colOff>800100</xdr:colOff>
      <xdr:row>2</xdr:row>
      <xdr:rowOff>9525</xdr:rowOff>
    </xdr:to>
    <xdr:sp macro="" textlink="">
      <xdr:nvSpPr>
        <xdr:cNvPr id="3" name="Flowchart: Alternate Process 2">
          <a:hlinkClick xmlns:r="http://schemas.openxmlformats.org/officeDocument/2006/relationships" r:id="rId2"/>
        </xdr:cNvPr>
        <xdr:cNvSpPr/>
      </xdr:nvSpPr>
      <xdr:spPr>
        <a:xfrm>
          <a:off x="11458575" y="0"/>
          <a:ext cx="1181100" cy="390525"/>
        </a:xfrm>
        <a:prstGeom prst="flowChartAlternateProcess">
          <a:avLst/>
        </a:prstGeom>
        <a:solidFill>
          <a:schemeClr val="tx2"/>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400" b="1"/>
            <a:t>NEXT</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771525</xdr:colOff>
      <xdr:row>0</xdr:row>
      <xdr:rowOff>0</xdr:rowOff>
    </xdr:from>
    <xdr:to>
      <xdr:col>1</xdr:col>
      <xdr:colOff>752475</xdr:colOff>
      <xdr:row>2</xdr:row>
      <xdr:rowOff>9525</xdr:rowOff>
    </xdr:to>
    <xdr:sp macro="" textlink="">
      <xdr:nvSpPr>
        <xdr:cNvPr id="2" name="Flowchart: Alternate Process 1">
          <a:hlinkClick xmlns:r="http://schemas.openxmlformats.org/officeDocument/2006/relationships" r:id="rId1"/>
        </xdr:cNvPr>
        <xdr:cNvSpPr/>
      </xdr:nvSpPr>
      <xdr:spPr>
        <a:xfrm>
          <a:off x="771525" y="0"/>
          <a:ext cx="1133475" cy="390525"/>
        </a:xfrm>
        <a:prstGeom prst="flowChartAlternateProcess">
          <a:avLst/>
        </a:prstGeom>
        <a:solidFill>
          <a:schemeClr val="tx2"/>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400" b="1"/>
            <a:t>BACK</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771525</xdr:colOff>
      <xdr:row>0</xdr:row>
      <xdr:rowOff>0</xdr:rowOff>
    </xdr:from>
    <xdr:to>
      <xdr:col>1</xdr:col>
      <xdr:colOff>752475</xdr:colOff>
      <xdr:row>2</xdr:row>
      <xdr:rowOff>9525</xdr:rowOff>
    </xdr:to>
    <xdr:sp macro="" textlink="">
      <xdr:nvSpPr>
        <xdr:cNvPr id="2" name="Flowchart: Alternate Process 1">
          <a:hlinkClick xmlns:r="http://schemas.openxmlformats.org/officeDocument/2006/relationships" r:id="rId1"/>
        </xdr:cNvPr>
        <xdr:cNvSpPr/>
      </xdr:nvSpPr>
      <xdr:spPr>
        <a:xfrm>
          <a:off x="771525" y="0"/>
          <a:ext cx="1133475" cy="390525"/>
        </a:xfrm>
        <a:prstGeom prst="flowChartAlternateProcess">
          <a:avLst/>
        </a:prstGeom>
        <a:solidFill>
          <a:schemeClr val="tx2"/>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400" b="1"/>
            <a:t>BACK</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2</xdr:col>
      <xdr:colOff>114300</xdr:colOff>
      <xdr:row>2</xdr:row>
      <xdr:rowOff>66676</xdr:rowOff>
    </xdr:from>
    <xdr:to>
      <xdr:col>24</xdr:col>
      <xdr:colOff>457200</xdr:colOff>
      <xdr:row>34</xdr:row>
      <xdr:rowOff>152400</xdr:rowOff>
    </xdr:to>
    <xdr:sp macro="" textlink="">
      <xdr:nvSpPr>
        <xdr:cNvPr id="2" name="TextBox 1"/>
        <xdr:cNvSpPr txBox="1"/>
      </xdr:nvSpPr>
      <xdr:spPr>
        <a:xfrm>
          <a:off x="1333500" y="1104901"/>
          <a:ext cx="13754100" cy="6181724"/>
        </a:xfrm>
        <a:prstGeom prst="rect">
          <a:avLst/>
        </a:prstGeom>
        <a:ln w="3810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600" b="0"/>
            <a:t>Discounting is</a:t>
          </a:r>
          <a:r>
            <a:rPr lang="en-US" sz="1600" b="0" baseline="0"/>
            <a:t> the premium society places on benefits received today versus the future.  The discount rate in economic evaluations involving health is the rate at which society is willing to exchange present value (i.e., costs) for future value or costs.  Several factors will affect the determination of future costs, the first being the time preferences for delivering specific programs or outcomes.  We have chosen to  limit our time preferences between 1 and 10 years.  The next determinant is the assumption that there are trade-offs  between the present value and future beneficial value.  For instance, the cost of implementing an intervention to prevent dental caries may cost a total of $150,000 per village but the future benefits may be worth $500,000 due to the prevention of future caries from caries reduction programs.  Decision makers must decide which is better, cost of starting the intervention or value gained from said intervention.</a:t>
          </a:r>
        </a:p>
        <a:p>
          <a:endParaRPr lang="en-US" sz="1600" b="0" baseline="0"/>
        </a:p>
        <a:p>
          <a:r>
            <a:rPr lang="en-US" sz="1600" b="0" baseline="0"/>
            <a:t>Discounted values are calculated using the following formula:</a:t>
          </a:r>
        </a:p>
        <a:p>
          <a:endParaRPr lang="en-US" sz="1600" b="0" baseline="0"/>
        </a:p>
        <a:p>
          <a:r>
            <a:rPr lang="en-US" sz="1600" b="0" baseline="0"/>
            <a:t>               		 </a:t>
          </a:r>
          <a:r>
            <a:rPr lang="en-US" sz="1600" b="1" baseline="0">
              <a:solidFill>
                <a:srgbClr val="FF0000"/>
              </a:solidFill>
            </a:rPr>
            <a:t>Present Value(PV) = </a:t>
          </a:r>
          <a:r>
            <a:rPr lang="en-US" sz="1600" b="1" u="sng" baseline="0">
              <a:solidFill>
                <a:srgbClr val="FF0000"/>
              </a:solidFill>
            </a:rPr>
            <a:t>Undiscounted Current Value or Costs (at time 0)</a:t>
          </a:r>
        </a:p>
        <a:p>
          <a:r>
            <a:rPr lang="en-US" sz="1600" b="1" u="none" baseline="0">
              <a:solidFill>
                <a:srgbClr val="FF0000"/>
              </a:solidFill>
            </a:rPr>
            <a:t>					           (1+r)^t</a:t>
          </a:r>
        </a:p>
        <a:p>
          <a:endParaRPr lang="en-US" sz="1600" b="0" u="none" baseline="0"/>
        </a:p>
        <a:p>
          <a:r>
            <a:rPr lang="en-US" sz="1600" b="0" u="none" baseline="0"/>
            <a:t>	Where Current Costs at time 0 = Estimated calculated cost for each intervention (found on each spreadsheet page)</a:t>
          </a:r>
        </a:p>
        <a:p>
          <a:r>
            <a:rPr lang="en-US" sz="1600" b="0" u="none" baseline="0"/>
            <a:t>                                                                         r = Discount rate (selected at the top of Summary page)</a:t>
          </a:r>
        </a:p>
        <a:p>
          <a:r>
            <a:rPr lang="en-US" sz="1600" b="0" u="none" baseline="0"/>
            <a:t>                                                                         t = Time frame for implementing interventions (selected at the top of Summary page)</a:t>
          </a:r>
        </a:p>
        <a:p>
          <a:endParaRPr lang="en-US" sz="1600" b="0" u="none" baseline="0"/>
        </a:p>
        <a:p>
          <a:r>
            <a:rPr lang="en-US" sz="1600" b="0" u="none" baseline="0"/>
            <a:t>As an example, the estimated cost of starting a water fluoridation program was $18,125 and $200,280 for current and ideal population coverage at time 0 (found on Water Fluoridation page).  However, once the discount rate was applied the present value of the program for current and ideal population coverage during first year (time = 1) of implementation was $17,597 and $194,447.  </a:t>
          </a:r>
        </a:p>
        <a:p>
          <a:endParaRPr lang="en-US" sz="1600" b="0" u="none" baseline="0"/>
        </a:p>
        <a:p>
          <a:r>
            <a:rPr lang="en-US" sz="1600" b="0" u="none" baseline="0"/>
            <a:t>The total discounted costs for implementing water fluoridation is calculated by applying present value to each year's discounted program costs.  The cumulative costs of each year's discounted cost produces the total discounted intervention costs.  For instance the first year discounted costs of water fluoridation for current population is $17,597, the second year discounted costs of continuing the program is $17,085, the third year costs were $16,587, and so forth leading to a total 10 year discounted costs of $154,610 for current population coverage.</a:t>
          </a:r>
          <a:endParaRPr lang="en-US" sz="1600" b="0" u="none"/>
        </a:p>
      </xdr:txBody>
    </xdr:sp>
    <xdr:clientData/>
  </xdr:twoCellAnchor>
  <xdr:twoCellAnchor editAs="oneCell">
    <xdr:from>
      <xdr:col>0</xdr:col>
      <xdr:colOff>0</xdr:colOff>
      <xdr:row>0</xdr:row>
      <xdr:rowOff>19050</xdr:rowOff>
    </xdr:from>
    <xdr:to>
      <xdr:col>2</xdr:col>
      <xdr:colOff>0</xdr:colOff>
      <xdr:row>1</xdr:row>
      <xdr:rowOff>495300</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1219200" cy="923925"/>
        </a:xfrm>
        <a:prstGeom prst="rect">
          <a:avLst/>
        </a:prstGeom>
      </xdr:spPr>
    </xdr:pic>
    <xdr:clientData/>
  </xdr:twoCellAnchor>
  <xdr:twoCellAnchor>
    <xdr:from>
      <xdr:col>3</xdr:col>
      <xdr:colOff>66675</xdr:colOff>
      <xdr:row>1</xdr:row>
      <xdr:rowOff>85725</xdr:rowOff>
    </xdr:from>
    <xdr:to>
      <xdr:col>5</xdr:col>
      <xdr:colOff>133350</xdr:colOff>
      <xdr:row>1</xdr:row>
      <xdr:rowOff>476250</xdr:rowOff>
    </xdr:to>
    <xdr:sp macro="" textlink="">
      <xdr:nvSpPr>
        <xdr:cNvPr id="4" name="Flowchart: Alternate Process 3">
          <a:hlinkClick xmlns:r="http://schemas.openxmlformats.org/officeDocument/2006/relationships" r:id="rId2"/>
        </xdr:cNvPr>
        <xdr:cNvSpPr/>
      </xdr:nvSpPr>
      <xdr:spPr>
        <a:xfrm>
          <a:off x="1895475" y="533400"/>
          <a:ext cx="1285875" cy="390525"/>
        </a:xfrm>
        <a:prstGeom prst="flowChartAlternateProcess">
          <a:avLst/>
        </a:prstGeom>
        <a:solidFill>
          <a:schemeClr val="tx2"/>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400" b="1"/>
            <a:t>BACK</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2</xdr:col>
      <xdr:colOff>114300</xdr:colOff>
      <xdr:row>2</xdr:row>
      <xdr:rowOff>66676</xdr:rowOff>
    </xdr:from>
    <xdr:to>
      <xdr:col>24</xdr:col>
      <xdr:colOff>457200</xdr:colOff>
      <xdr:row>34</xdr:row>
      <xdr:rowOff>152400</xdr:rowOff>
    </xdr:to>
    <xdr:sp macro="" textlink="">
      <xdr:nvSpPr>
        <xdr:cNvPr id="2" name="TextBox 1"/>
        <xdr:cNvSpPr txBox="1"/>
      </xdr:nvSpPr>
      <xdr:spPr>
        <a:xfrm>
          <a:off x="1333500" y="1104901"/>
          <a:ext cx="13754100" cy="6181724"/>
        </a:xfrm>
        <a:prstGeom prst="rect">
          <a:avLst/>
        </a:prstGeom>
        <a:ln w="3810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600" b="0" u="none"/>
            <a:t>We</a:t>
          </a:r>
          <a:r>
            <a:rPr lang="en-US" sz="1600" b="0" u="none" baseline="0"/>
            <a:t> estimated the number of caries averted by calculating the product between the population covered (current and ideal) by each intervention, the effectiveness rate (minimum and maximum values) of each intervention, and the average number of caries per child.  The general anesthesia procedures averted were calculated using the product between the population covered (current and ideal) under each intervention its' effectiveness rate (minimum and maximum values).  The present day (i.e., undiscounted, time=0) values for the number of health outcomes averted is as follows:</a:t>
          </a:r>
        </a:p>
        <a:p>
          <a:r>
            <a:rPr lang="en-US" sz="1600" b="0" u="none" baseline="0"/>
            <a:t>				</a:t>
          </a:r>
        </a:p>
        <a:p>
          <a:r>
            <a:rPr lang="en-US" sz="1600" b="0" u="none" baseline="0"/>
            <a:t>				</a:t>
          </a:r>
        </a:p>
        <a:p>
          <a:r>
            <a:rPr lang="en-US" sz="1600" b="0" u="none" baseline="0"/>
            <a:t>					</a:t>
          </a:r>
        </a:p>
        <a:p>
          <a:r>
            <a:rPr lang="en-US" sz="1600" b="0" u="none" baseline="0"/>
            <a:t>	                 </a:t>
          </a:r>
        </a:p>
        <a:p>
          <a:r>
            <a:rPr lang="en-US" sz="1600" b="0" u="none" baseline="0"/>
            <a:t>	                 Water Fluoridation</a:t>
          </a:r>
        </a:p>
        <a:p>
          <a:r>
            <a:rPr lang="en-US" sz="1600" b="0" u="none" baseline="0"/>
            <a:t>		   Dental Sealants</a:t>
          </a:r>
        </a:p>
        <a:p>
          <a:r>
            <a:rPr lang="en-US" sz="1600" b="0" u="none" baseline="0"/>
            <a:t>		  Fluoride Varnish</a:t>
          </a:r>
        </a:p>
        <a:p>
          <a:r>
            <a:rPr lang="en-US" sz="1600" b="0" u="none" baseline="0"/>
            <a:t>	         Toothbrush/Toothpaste</a:t>
          </a:r>
        </a:p>
        <a:p>
          <a:r>
            <a:rPr lang="en-US" sz="1600" b="0" u="none" baseline="0"/>
            <a:t>                                                    Inital Exam                </a:t>
          </a:r>
        </a:p>
        <a:p>
          <a:endParaRPr lang="en-US" sz="1600" b="0" u="none" baseline="0"/>
        </a:p>
        <a:p>
          <a:endParaRPr lang="en-US" sz="1600" b="0" u="none" baseline="0"/>
        </a:p>
        <a:p>
          <a:r>
            <a:rPr lang="en-US" sz="1600" b="0" u="none" baseline="0"/>
            <a:t>For instance, using water fluoridation the estimated range for the number of undiscounted caries to be averted is 233-313 and the range for the number of FMDRs to be averted is 15-20 using current population coverage (36%).  While using ideal population coverage (68%) the estimated range for the number of caries and FMDRs averted is 440-593 and  29-38, respectively.  </a:t>
          </a:r>
        </a:p>
        <a:p>
          <a:endParaRPr lang="en-US" sz="1600" b="0" u="none" baseline="0"/>
        </a:p>
      </xdr:txBody>
    </xdr:sp>
    <xdr:clientData/>
  </xdr:twoCellAnchor>
  <xdr:twoCellAnchor editAs="oneCell">
    <xdr:from>
      <xdr:col>0</xdr:col>
      <xdr:colOff>0</xdr:colOff>
      <xdr:row>0</xdr:row>
      <xdr:rowOff>19050</xdr:rowOff>
    </xdr:from>
    <xdr:to>
      <xdr:col>2</xdr:col>
      <xdr:colOff>0</xdr:colOff>
      <xdr:row>1</xdr:row>
      <xdr:rowOff>495300</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1219200" cy="923925"/>
        </a:xfrm>
        <a:prstGeom prst="rect">
          <a:avLst/>
        </a:prstGeom>
      </xdr:spPr>
    </xdr:pic>
    <xdr:clientData/>
  </xdr:twoCellAnchor>
  <xdr:twoCellAnchor>
    <xdr:from>
      <xdr:col>3</xdr:col>
      <xdr:colOff>66675</xdr:colOff>
      <xdr:row>1</xdr:row>
      <xdr:rowOff>85725</xdr:rowOff>
    </xdr:from>
    <xdr:to>
      <xdr:col>5</xdr:col>
      <xdr:colOff>133350</xdr:colOff>
      <xdr:row>1</xdr:row>
      <xdr:rowOff>476250</xdr:rowOff>
    </xdr:to>
    <xdr:sp macro="" textlink="">
      <xdr:nvSpPr>
        <xdr:cNvPr id="4" name="Flowchart: Alternate Process 3">
          <a:hlinkClick xmlns:r="http://schemas.openxmlformats.org/officeDocument/2006/relationships" r:id="rId2"/>
        </xdr:cNvPr>
        <xdr:cNvSpPr/>
      </xdr:nvSpPr>
      <xdr:spPr>
        <a:xfrm>
          <a:off x="1895475" y="533400"/>
          <a:ext cx="1285875" cy="390525"/>
        </a:xfrm>
        <a:prstGeom prst="flowChartAlternateProcess">
          <a:avLst/>
        </a:prstGeom>
        <a:solidFill>
          <a:schemeClr val="tx2"/>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400" b="1"/>
            <a:t>BACK</a:t>
          </a:r>
        </a:p>
      </xdr:txBody>
    </xdr:sp>
    <xdr:clientData/>
  </xdr:twoCellAnchor>
  <xdr:twoCellAnchor>
    <xdr:from>
      <xdr:col>21</xdr:col>
      <xdr:colOff>133350</xdr:colOff>
      <xdr:row>1</xdr:row>
      <xdr:rowOff>66675</xdr:rowOff>
    </xdr:from>
    <xdr:to>
      <xdr:col>23</xdr:col>
      <xdr:colOff>95250</xdr:colOff>
      <xdr:row>1</xdr:row>
      <xdr:rowOff>457200</xdr:rowOff>
    </xdr:to>
    <xdr:sp macro="" textlink="">
      <xdr:nvSpPr>
        <xdr:cNvPr id="8" name="Flowchart: Alternate Process 7">
          <a:hlinkClick xmlns:r="http://schemas.openxmlformats.org/officeDocument/2006/relationships" r:id="rId3"/>
        </xdr:cNvPr>
        <xdr:cNvSpPr/>
      </xdr:nvSpPr>
      <xdr:spPr>
        <a:xfrm>
          <a:off x="12934950" y="514350"/>
          <a:ext cx="1181100" cy="390525"/>
        </a:xfrm>
        <a:prstGeom prst="flowChartAlternateProcess">
          <a:avLst/>
        </a:prstGeom>
        <a:solidFill>
          <a:schemeClr val="tx2"/>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400" b="1"/>
            <a:t>NEXT</a:t>
          </a:r>
        </a:p>
      </xdr:txBody>
    </xdr:sp>
    <xdr:clientData/>
  </xdr:twoCellAnchor>
  <xdr:twoCellAnchor editAs="oneCell">
    <xdr:from>
      <xdr:col>7</xdr:col>
      <xdr:colOff>495300</xdr:colOff>
      <xdr:row>9</xdr:row>
      <xdr:rowOff>180975</xdr:rowOff>
    </xdr:from>
    <xdr:to>
      <xdr:col>17</xdr:col>
      <xdr:colOff>287402</xdr:colOff>
      <xdr:row>19</xdr:row>
      <xdr:rowOff>104775</xdr:rowOff>
    </xdr:to>
    <xdr:pic>
      <xdr:nvPicPr>
        <xdr:cNvPr id="10" name="Picture 9"/>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762500" y="2552700"/>
          <a:ext cx="5888102" cy="1828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xdr:from>
      <xdr:col>2</xdr:col>
      <xdr:colOff>114300</xdr:colOff>
      <xdr:row>2</xdr:row>
      <xdr:rowOff>66676</xdr:rowOff>
    </xdr:from>
    <xdr:to>
      <xdr:col>24</xdr:col>
      <xdr:colOff>457200</xdr:colOff>
      <xdr:row>34</xdr:row>
      <xdr:rowOff>152400</xdr:rowOff>
    </xdr:to>
    <xdr:sp macro="" textlink="">
      <xdr:nvSpPr>
        <xdr:cNvPr id="2" name="TextBox 1"/>
        <xdr:cNvSpPr txBox="1"/>
      </xdr:nvSpPr>
      <xdr:spPr>
        <a:xfrm>
          <a:off x="1333500" y="1104901"/>
          <a:ext cx="13754100" cy="6181724"/>
        </a:xfrm>
        <a:prstGeom prst="rect">
          <a:avLst/>
        </a:prstGeom>
        <a:ln w="3810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lang="en-US" sz="1600" b="0" u="none" baseline="0"/>
        </a:p>
        <a:p>
          <a:r>
            <a:rPr lang="en-US" sz="1600" b="0" u="none" baseline="0"/>
            <a:t>Once we determined the base health outcomes averted at present day (time =0), we then applied the specified discount rate to estimate the discounted health outcomes averted using the following formula:</a:t>
          </a:r>
        </a:p>
        <a:p>
          <a:r>
            <a:rPr lang="en-US" sz="1600" b="0" u="none" baseline="0"/>
            <a:t>				</a:t>
          </a:r>
          <a:r>
            <a:rPr lang="en-US" sz="1600" b="1" u="none" baseline="0">
              <a:solidFill>
                <a:srgbClr val="FF0000"/>
              </a:solidFill>
            </a:rPr>
            <a:t>Present Value(FV) = </a:t>
          </a:r>
          <a:r>
            <a:rPr lang="en-US" sz="1600" b="1" u="sng" baseline="0">
              <a:solidFill>
                <a:srgbClr val="FF0000"/>
              </a:solidFill>
            </a:rPr>
            <a:t>Current Health Outcomes Averted (</a:t>
          </a:r>
          <a:r>
            <a:rPr lang="en-US" sz="1200" b="1" i="1" u="sng" baseline="0">
              <a:solidFill>
                <a:srgbClr val="FF0000"/>
              </a:solidFill>
            </a:rPr>
            <a:t>using undiscounted estimated time0  values</a:t>
          </a:r>
          <a:r>
            <a:rPr lang="en-US" sz="1600" b="1" u="sng" baseline="0">
              <a:solidFill>
                <a:srgbClr val="FF0000"/>
              </a:solidFill>
            </a:rPr>
            <a:t>)</a:t>
          </a:r>
        </a:p>
        <a:p>
          <a:r>
            <a:rPr lang="en-US" sz="1600" b="1" u="none" baseline="0">
              <a:solidFill>
                <a:srgbClr val="FF0000"/>
              </a:solidFill>
            </a:rPr>
            <a:t>					      		             (1+r)^t</a:t>
          </a:r>
        </a:p>
        <a:p>
          <a:endParaRPr lang="en-US" sz="1600" b="0" u="none" baseline="0"/>
        </a:p>
        <a:p>
          <a:r>
            <a:rPr lang="en-US" sz="1600" b="0" u="none" baseline="0"/>
            <a:t>	Where Current Health Outcomes Averted= Undiscounted estimated health outcomes averted</a:t>
          </a:r>
        </a:p>
        <a:p>
          <a:r>
            <a:rPr lang="en-US" sz="1600" b="0" u="none" baseline="0"/>
            <a:t>                                                                                             r = Discount rate (selected at the top of Summary page)</a:t>
          </a:r>
        </a:p>
        <a:p>
          <a:r>
            <a:rPr lang="en-US" sz="1600" b="0" u="none" baseline="0"/>
            <a:t>                                                                                             t = Timeframe of intervention (selected at the top of Summary page)</a:t>
          </a:r>
        </a:p>
        <a:p>
          <a:endParaRPr lang="en-US" sz="1600" b="0" u="none" baseline="0"/>
        </a:p>
        <a:p>
          <a:endParaRPr lang="en-US" sz="1600" b="0" u="none" baseline="0"/>
        </a:p>
        <a:p>
          <a:r>
            <a:rPr lang="en-US" sz="1600" b="0" u="none" baseline="0"/>
            <a:t>We calculated the discounted number of health outcomes averted at minimum and maximum effectiveness for each intervention using the above equation.  For instance, using water fluoridation the estimated range for the number of undiscounted caries to be averted is 233-313 and the range for the number of FMDRs to be averted is 15-20 using current population coverage (36%).  While using ideal population coverage (68%) the estimated range for the number of caries and general anesthesia procedures averted is 440-593 and 29-38, respectively.  </a:t>
          </a:r>
        </a:p>
        <a:p>
          <a:endParaRPr lang="en-US" sz="1600" b="0" u="none" baseline="0"/>
        </a:p>
        <a:p>
          <a:r>
            <a:rPr lang="en-US" sz="1600" b="0" u="none" baseline="0"/>
            <a:t>Once we applied the discounting formula using the specified discount rate (</a:t>
          </a:r>
          <a:r>
            <a:rPr lang="en-US" sz="1600" b="0" i="1" u="none" baseline="0"/>
            <a:t>Refer to Summary Page for input</a:t>
          </a:r>
          <a:r>
            <a:rPr lang="en-US" sz="1600" b="0" u="none" baseline="0"/>
            <a:t>) and the timeframe of the intervention to be used in the population (</a:t>
          </a:r>
          <a:r>
            <a:rPr lang="en-US" sz="1600" b="0" i="1" u="none" baseline="0"/>
            <a:t>Refer to Summary Page for input</a:t>
          </a:r>
          <a:r>
            <a:rPr lang="en-US" sz="1600" b="0" u="none" baseline="0"/>
            <a:t>), we calculated that the range of caries averted under current and ideal population coverage is 1,984 -2,671and 3,756-5,057respectively for a timeframe of 10 years.  While the range of FMDRs averted under current and ideal population coverage is 129-173 and 244-328, respectively using the same timeframe.  If one was to change the timeframe, it is expected that the total number of caries and general anesthesia procedures averted should also change.  For instance, if one was to alter the timeframe to 5 years, the estimated range for caries averted using water fluoridation under current and ideal population coverage would be 1,065-1,434 and 2,017-2,715 respectively.  Likewise the range for the number of FMDRs averted using current and ideal population coverage would be 69-93 and 131-176, respectively.</a:t>
          </a:r>
        </a:p>
      </xdr:txBody>
    </xdr:sp>
    <xdr:clientData/>
  </xdr:twoCellAnchor>
  <xdr:twoCellAnchor editAs="oneCell">
    <xdr:from>
      <xdr:col>0</xdr:col>
      <xdr:colOff>0</xdr:colOff>
      <xdr:row>0</xdr:row>
      <xdr:rowOff>19050</xdr:rowOff>
    </xdr:from>
    <xdr:to>
      <xdr:col>2</xdr:col>
      <xdr:colOff>0</xdr:colOff>
      <xdr:row>1</xdr:row>
      <xdr:rowOff>495300</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1219200" cy="923925"/>
        </a:xfrm>
        <a:prstGeom prst="rect">
          <a:avLst/>
        </a:prstGeom>
      </xdr:spPr>
    </xdr:pic>
    <xdr:clientData/>
  </xdr:twoCellAnchor>
  <xdr:twoCellAnchor>
    <xdr:from>
      <xdr:col>3</xdr:col>
      <xdr:colOff>66675</xdr:colOff>
      <xdr:row>1</xdr:row>
      <xdr:rowOff>85725</xdr:rowOff>
    </xdr:from>
    <xdr:to>
      <xdr:col>5</xdr:col>
      <xdr:colOff>133350</xdr:colOff>
      <xdr:row>1</xdr:row>
      <xdr:rowOff>476250</xdr:rowOff>
    </xdr:to>
    <xdr:sp macro="" textlink="">
      <xdr:nvSpPr>
        <xdr:cNvPr id="4" name="Flowchart: Alternate Process 3">
          <a:hlinkClick xmlns:r="http://schemas.openxmlformats.org/officeDocument/2006/relationships" r:id="rId2"/>
        </xdr:cNvPr>
        <xdr:cNvSpPr/>
      </xdr:nvSpPr>
      <xdr:spPr>
        <a:xfrm>
          <a:off x="1895475" y="533400"/>
          <a:ext cx="1285875" cy="390525"/>
        </a:xfrm>
        <a:prstGeom prst="flowChartAlternateProcess">
          <a:avLst/>
        </a:prstGeom>
        <a:solidFill>
          <a:schemeClr val="tx2"/>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400" b="1"/>
            <a:t>BACK</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28575</xdr:rowOff>
    </xdr:from>
    <xdr:to>
      <xdr:col>2</xdr:col>
      <xdr:colOff>328180</xdr:colOff>
      <xdr:row>1</xdr:row>
      <xdr:rowOff>561975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 y="28575"/>
          <a:ext cx="1137805" cy="857250"/>
        </a:xfrm>
        <a:prstGeom prst="rect">
          <a:avLst/>
        </a:prstGeom>
      </xdr:spPr>
    </xdr:pic>
    <xdr:clientData/>
  </xdr:twoCellAnchor>
  <xdr:twoCellAnchor>
    <xdr:from>
      <xdr:col>15</xdr:col>
      <xdr:colOff>304800</xdr:colOff>
      <xdr:row>1</xdr:row>
      <xdr:rowOff>95250</xdr:rowOff>
    </xdr:from>
    <xdr:to>
      <xdr:col>17</xdr:col>
      <xdr:colOff>266700</xdr:colOff>
      <xdr:row>1</xdr:row>
      <xdr:rowOff>485775</xdr:rowOff>
    </xdr:to>
    <xdr:sp macro="" textlink="">
      <xdr:nvSpPr>
        <xdr:cNvPr id="4" name="Flowchart: Alternate Process 3">
          <a:hlinkClick xmlns:r="http://schemas.openxmlformats.org/officeDocument/2006/relationships" r:id="rId2"/>
        </xdr:cNvPr>
        <xdr:cNvSpPr/>
      </xdr:nvSpPr>
      <xdr:spPr>
        <a:xfrm>
          <a:off x="12382500" y="419100"/>
          <a:ext cx="1181100" cy="390525"/>
        </a:xfrm>
        <a:prstGeom prst="flowChartAlternateProcess">
          <a:avLst/>
        </a:prstGeom>
        <a:solidFill>
          <a:schemeClr val="tx2"/>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400" b="1"/>
            <a:t>NEXT</a:t>
          </a:r>
        </a:p>
      </xdr:txBody>
    </xdr:sp>
    <xdr:clientData/>
  </xdr:twoCellAnchor>
  <xdr:twoCellAnchor>
    <xdr:from>
      <xdr:col>3</xdr:col>
      <xdr:colOff>457200</xdr:colOff>
      <xdr:row>1</xdr:row>
      <xdr:rowOff>76200</xdr:rowOff>
    </xdr:from>
    <xdr:to>
      <xdr:col>4</xdr:col>
      <xdr:colOff>1133475</xdr:colOff>
      <xdr:row>1</xdr:row>
      <xdr:rowOff>466725</xdr:rowOff>
    </xdr:to>
    <xdr:sp macro="" textlink="">
      <xdr:nvSpPr>
        <xdr:cNvPr id="5" name="Flowchart: Alternate Process 4">
          <a:hlinkClick xmlns:r="http://schemas.openxmlformats.org/officeDocument/2006/relationships" r:id="rId3"/>
        </xdr:cNvPr>
        <xdr:cNvSpPr/>
      </xdr:nvSpPr>
      <xdr:spPr>
        <a:xfrm>
          <a:off x="1895475" y="400050"/>
          <a:ext cx="1285875" cy="390525"/>
        </a:xfrm>
        <a:prstGeom prst="flowChartAlternateProcess">
          <a:avLst/>
        </a:prstGeom>
        <a:solidFill>
          <a:schemeClr val="tx2"/>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400" b="1"/>
            <a:t>BACK</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0</xdr:col>
      <xdr:colOff>142874</xdr:colOff>
      <xdr:row>10</xdr:row>
      <xdr:rowOff>180974</xdr:rowOff>
    </xdr:from>
    <xdr:to>
      <xdr:col>7</xdr:col>
      <xdr:colOff>400049</xdr:colOff>
      <xdr:row>34</xdr:row>
      <xdr:rowOff>190499</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828675</xdr:colOff>
      <xdr:row>11</xdr:row>
      <xdr:rowOff>14287</xdr:rowOff>
    </xdr:from>
    <xdr:to>
      <xdr:col>16</xdr:col>
      <xdr:colOff>533400</xdr:colOff>
      <xdr:row>27</xdr:row>
      <xdr:rowOff>85725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114300</xdr:colOff>
      <xdr:row>37</xdr:row>
      <xdr:rowOff>95250</xdr:rowOff>
    </xdr:from>
    <xdr:to>
      <xdr:col>6</xdr:col>
      <xdr:colOff>5064</xdr:colOff>
      <xdr:row>48</xdr:row>
      <xdr:rowOff>64579</xdr:rowOff>
    </xdr:to>
    <xdr:pic>
      <xdr:nvPicPr>
        <xdr:cNvPr id="8" name="Picture 7"/>
        <xdr:cNvPicPr>
          <a:picLocks noChangeAspect="1"/>
        </xdr:cNvPicPr>
      </xdr:nvPicPr>
      <xdr:blipFill>
        <a:blip xmlns:r="http://schemas.openxmlformats.org/officeDocument/2006/relationships" r:embed="rId3"/>
        <a:stretch>
          <a:fillRect/>
        </a:stretch>
      </xdr:blipFill>
      <xdr:spPr>
        <a:xfrm>
          <a:off x="723900" y="7143750"/>
          <a:ext cx="5681964" cy="2188654"/>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xdr:from>
      <xdr:col>5</xdr:col>
      <xdr:colOff>400051</xdr:colOff>
      <xdr:row>3</xdr:row>
      <xdr:rowOff>42861</xdr:rowOff>
    </xdr:from>
    <xdr:to>
      <xdr:col>17</xdr:col>
      <xdr:colOff>1</xdr:colOff>
      <xdr:row>22</xdr:row>
      <xdr:rowOff>85725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5</xdr:col>
      <xdr:colOff>400051</xdr:colOff>
      <xdr:row>3</xdr:row>
      <xdr:rowOff>42861</xdr:rowOff>
    </xdr:from>
    <xdr:to>
      <xdr:col>17</xdr:col>
      <xdr:colOff>1</xdr:colOff>
      <xdr:row>20</xdr:row>
      <xdr:rowOff>161924</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9</xdr:col>
      <xdr:colOff>476250</xdr:colOff>
      <xdr:row>0</xdr:row>
      <xdr:rowOff>119062</xdr:rowOff>
    </xdr:from>
    <xdr:to>
      <xdr:col>17</xdr:col>
      <xdr:colOff>171450</xdr:colOff>
      <xdr:row>15</xdr:row>
      <xdr:rowOff>4762</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161925</xdr:colOff>
      <xdr:row>20</xdr:row>
      <xdr:rowOff>14287</xdr:rowOff>
    </xdr:from>
    <xdr:to>
      <xdr:col>13</xdr:col>
      <xdr:colOff>561975</xdr:colOff>
      <xdr:row>34</xdr:row>
      <xdr:rowOff>90487</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590550</xdr:colOff>
      <xdr:row>2</xdr:row>
      <xdr:rowOff>9525</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28700" cy="923925"/>
        </a:xfrm>
        <a:prstGeom prst="rect">
          <a:avLst/>
        </a:prstGeom>
      </xdr:spPr>
    </xdr:pic>
    <xdr:clientData/>
  </xdr:twoCellAnchor>
  <xdr:twoCellAnchor>
    <xdr:from>
      <xdr:col>13</xdr:col>
      <xdr:colOff>981075</xdr:colOff>
      <xdr:row>1</xdr:row>
      <xdr:rowOff>76200</xdr:rowOff>
    </xdr:from>
    <xdr:to>
      <xdr:col>14</xdr:col>
      <xdr:colOff>1114425</xdr:colOff>
      <xdr:row>1</xdr:row>
      <xdr:rowOff>466725</xdr:rowOff>
    </xdr:to>
    <xdr:sp macro="" textlink="">
      <xdr:nvSpPr>
        <xdr:cNvPr id="6" name="Flowchart: Alternate Process 5">
          <a:hlinkClick xmlns:r="http://schemas.openxmlformats.org/officeDocument/2006/relationships" r:id="rId2"/>
        </xdr:cNvPr>
        <xdr:cNvSpPr/>
      </xdr:nvSpPr>
      <xdr:spPr>
        <a:xfrm>
          <a:off x="13811250" y="400050"/>
          <a:ext cx="1152525" cy="390525"/>
        </a:xfrm>
        <a:prstGeom prst="flowChartAlternateProcess">
          <a:avLst/>
        </a:prstGeom>
        <a:solidFill>
          <a:schemeClr val="tx2"/>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400" b="1"/>
            <a:t>NEXT</a:t>
          </a:r>
        </a:p>
      </xdr:txBody>
    </xdr:sp>
    <xdr:clientData/>
  </xdr:twoCellAnchor>
  <xdr:twoCellAnchor>
    <xdr:from>
      <xdr:col>1</xdr:col>
      <xdr:colOff>676276</xdr:colOff>
      <xdr:row>1</xdr:row>
      <xdr:rowOff>47625</xdr:rowOff>
    </xdr:from>
    <xdr:to>
      <xdr:col>2</xdr:col>
      <xdr:colOff>819151</xdr:colOff>
      <xdr:row>1</xdr:row>
      <xdr:rowOff>438150</xdr:rowOff>
    </xdr:to>
    <xdr:sp macro="" textlink="">
      <xdr:nvSpPr>
        <xdr:cNvPr id="4" name="Flowchart: Alternate Process 3">
          <a:hlinkClick xmlns:r="http://schemas.openxmlformats.org/officeDocument/2006/relationships" r:id="rId3"/>
        </xdr:cNvPr>
        <xdr:cNvSpPr/>
      </xdr:nvSpPr>
      <xdr:spPr>
        <a:xfrm>
          <a:off x="1323976" y="371475"/>
          <a:ext cx="1152525" cy="390525"/>
        </a:xfrm>
        <a:prstGeom prst="flowChartAlternateProcess">
          <a:avLst/>
        </a:prstGeom>
        <a:solidFill>
          <a:schemeClr val="tx2"/>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400" b="1"/>
            <a:t>BACK</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2</xdr:col>
      <xdr:colOff>394855</xdr:colOff>
      <xdr:row>1</xdr:row>
      <xdr:rowOff>571500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8100"/>
          <a:ext cx="1137805" cy="857250"/>
        </a:xfrm>
        <a:prstGeom prst="rect">
          <a:avLst/>
        </a:prstGeom>
      </xdr:spPr>
    </xdr:pic>
    <xdr:clientData/>
  </xdr:twoCellAnchor>
  <xdr:twoCellAnchor>
    <xdr:from>
      <xdr:col>13</xdr:col>
      <xdr:colOff>352425</xdr:colOff>
      <xdr:row>1</xdr:row>
      <xdr:rowOff>76200</xdr:rowOff>
    </xdr:from>
    <xdr:to>
      <xdr:col>14</xdr:col>
      <xdr:colOff>447675</xdr:colOff>
      <xdr:row>1</xdr:row>
      <xdr:rowOff>466725</xdr:rowOff>
    </xdr:to>
    <xdr:sp macro="" textlink="">
      <xdr:nvSpPr>
        <xdr:cNvPr id="4" name="Flowchart: Alternate Process 3">
          <a:hlinkClick xmlns:r="http://schemas.openxmlformats.org/officeDocument/2006/relationships" r:id="rId2"/>
        </xdr:cNvPr>
        <xdr:cNvSpPr/>
      </xdr:nvSpPr>
      <xdr:spPr>
        <a:xfrm>
          <a:off x="13439775" y="400050"/>
          <a:ext cx="1181100" cy="390525"/>
        </a:xfrm>
        <a:prstGeom prst="flowChartAlternateProcess">
          <a:avLst/>
        </a:prstGeom>
        <a:solidFill>
          <a:schemeClr val="tx2"/>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400" b="1"/>
            <a:t>NEXT</a:t>
          </a:r>
        </a:p>
      </xdr:txBody>
    </xdr:sp>
    <xdr:clientData/>
  </xdr:twoCellAnchor>
  <xdr:twoCellAnchor>
    <xdr:from>
      <xdr:col>2</xdr:col>
      <xdr:colOff>85725</xdr:colOff>
      <xdr:row>1</xdr:row>
      <xdr:rowOff>76200</xdr:rowOff>
    </xdr:from>
    <xdr:to>
      <xdr:col>3</xdr:col>
      <xdr:colOff>0</xdr:colOff>
      <xdr:row>1</xdr:row>
      <xdr:rowOff>466725</xdr:rowOff>
    </xdr:to>
    <xdr:sp macro="" textlink="">
      <xdr:nvSpPr>
        <xdr:cNvPr id="6" name="Flowchart: Alternate Process 5">
          <a:hlinkClick xmlns:r="http://schemas.openxmlformats.org/officeDocument/2006/relationships" r:id="rId3"/>
        </xdr:cNvPr>
        <xdr:cNvSpPr/>
      </xdr:nvSpPr>
      <xdr:spPr>
        <a:xfrm>
          <a:off x="1200150" y="400050"/>
          <a:ext cx="1171575" cy="390525"/>
        </a:xfrm>
        <a:prstGeom prst="flowChartAlternateProcess">
          <a:avLst/>
        </a:prstGeom>
        <a:solidFill>
          <a:schemeClr val="tx2"/>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400" b="1"/>
            <a:t>BACK</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47625</xdr:colOff>
      <xdr:row>2</xdr:row>
      <xdr:rowOff>9525</xdr:rowOff>
    </xdr:to>
    <xdr:pic>
      <xdr:nvPicPr>
        <xdr:cNvPr id="5"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04875" cy="923925"/>
        </a:xfrm>
        <a:prstGeom prst="rect">
          <a:avLst/>
        </a:prstGeom>
      </xdr:spPr>
    </xdr:pic>
    <xdr:clientData/>
  </xdr:twoCellAnchor>
  <xdr:twoCellAnchor>
    <xdr:from>
      <xdr:col>3</xdr:col>
      <xdr:colOff>123826</xdr:colOff>
      <xdr:row>1</xdr:row>
      <xdr:rowOff>57150</xdr:rowOff>
    </xdr:from>
    <xdr:to>
      <xdr:col>4</xdr:col>
      <xdr:colOff>266701</xdr:colOff>
      <xdr:row>1</xdr:row>
      <xdr:rowOff>447675</xdr:rowOff>
    </xdr:to>
    <xdr:sp macro="" textlink="">
      <xdr:nvSpPr>
        <xdr:cNvPr id="7" name="Flowchart: Alternate Process 6">
          <a:hlinkClick xmlns:r="http://schemas.openxmlformats.org/officeDocument/2006/relationships" r:id="rId2"/>
        </xdr:cNvPr>
        <xdr:cNvSpPr/>
      </xdr:nvSpPr>
      <xdr:spPr>
        <a:xfrm>
          <a:off x="981076" y="381000"/>
          <a:ext cx="1057275" cy="390525"/>
        </a:xfrm>
        <a:prstGeom prst="flowChartAlternateProcess">
          <a:avLst/>
        </a:prstGeom>
        <a:solidFill>
          <a:schemeClr val="tx2"/>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400" b="1"/>
            <a:t>BACK</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47625</xdr:rowOff>
    </xdr:from>
    <xdr:to>
      <xdr:col>1</xdr:col>
      <xdr:colOff>415925</xdr:colOff>
      <xdr:row>2</xdr:row>
      <xdr:rowOff>50800</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47625"/>
          <a:ext cx="1025525" cy="917575"/>
        </a:xfrm>
        <a:prstGeom prst="rect">
          <a:avLst/>
        </a:prstGeom>
      </xdr:spPr>
    </xdr:pic>
    <xdr:clientData/>
  </xdr:twoCellAnchor>
  <xdr:twoCellAnchor>
    <xdr:from>
      <xdr:col>12</xdr:col>
      <xdr:colOff>523875</xdr:colOff>
      <xdr:row>1</xdr:row>
      <xdr:rowOff>123825</xdr:rowOff>
    </xdr:from>
    <xdr:to>
      <xdr:col>13</xdr:col>
      <xdr:colOff>148166</xdr:colOff>
      <xdr:row>1</xdr:row>
      <xdr:rowOff>514350</xdr:rowOff>
    </xdr:to>
    <xdr:sp macro="" textlink="">
      <xdr:nvSpPr>
        <xdr:cNvPr id="5" name="Flowchart: Alternate Process 4">
          <a:hlinkClick xmlns:r="http://schemas.openxmlformats.org/officeDocument/2006/relationships" r:id="rId2"/>
        </xdr:cNvPr>
        <xdr:cNvSpPr/>
      </xdr:nvSpPr>
      <xdr:spPr>
        <a:xfrm>
          <a:off x="12658725" y="447675"/>
          <a:ext cx="957791" cy="390525"/>
        </a:xfrm>
        <a:prstGeom prst="flowChartAlternateProcess">
          <a:avLst/>
        </a:prstGeom>
        <a:solidFill>
          <a:schemeClr val="tx2"/>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400" b="1"/>
            <a:t>NEXT</a:t>
          </a:r>
        </a:p>
      </xdr:txBody>
    </xdr:sp>
    <xdr:clientData/>
  </xdr:twoCellAnchor>
  <xdr:twoCellAnchor>
    <xdr:from>
      <xdr:col>2</xdr:col>
      <xdr:colOff>0</xdr:colOff>
      <xdr:row>1</xdr:row>
      <xdr:rowOff>76200</xdr:rowOff>
    </xdr:from>
    <xdr:to>
      <xdr:col>2</xdr:col>
      <xdr:colOff>1009650</xdr:colOff>
      <xdr:row>1</xdr:row>
      <xdr:rowOff>466725</xdr:rowOff>
    </xdr:to>
    <xdr:sp macro="" textlink="">
      <xdr:nvSpPr>
        <xdr:cNvPr id="6" name="Flowchart: Alternate Process 5">
          <a:hlinkClick xmlns:r="http://schemas.openxmlformats.org/officeDocument/2006/relationships" r:id="rId3"/>
        </xdr:cNvPr>
        <xdr:cNvSpPr/>
      </xdr:nvSpPr>
      <xdr:spPr>
        <a:xfrm>
          <a:off x="1304925" y="400050"/>
          <a:ext cx="1009650" cy="390525"/>
        </a:xfrm>
        <a:prstGeom prst="flowChartAlternateProcess">
          <a:avLst/>
        </a:prstGeom>
        <a:solidFill>
          <a:schemeClr val="tx2"/>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400" b="1"/>
            <a:t>BACK</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533400</xdr:colOff>
      <xdr:row>2</xdr:row>
      <xdr:rowOff>9525</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28700" cy="923925"/>
        </a:xfrm>
        <a:prstGeom prst="rect">
          <a:avLst/>
        </a:prstGeom>
      </xdr:spPr>
    </xdr:pic>
    <xdr:clientData/>
  </xdr:twoCellAnchor>
  <xdr:twoCellAnchor>
    <xdr:from>
      <xdr:col>14</xdr:col>
      <xdr:colOff>38100</xdr:colOff>
      <xdr:row>1</xdr:row>
      <xdr:rowOff>57150</xdr:rowOff>
    </xdr:from>
    <xdr:to>
      <xdr:col>16</xdr:col>
      <xdr:colOff>0</xdr:colOff>
      <xdr:row>1</xdr:row>
      <xdr:rowOff>447675</xdr:rowOff>
    </xdr:to>
    <xdr:sp macro="" textlink="">
      <xdr:nvSpPr>
        <xdr:cNvPr id="5" name="Flowchart: Alternate Process 4">
          <a:hlinkClick xmlns:r="http://schemas.openxmlformats.org/officeDocument/2006/relationships" r:id="rId2"/>
        </xdr:cNvPr>
        <xdr:cNvSpPr/>
      </xdr:nvSpPr>
      <xdr:spPr>
        <a:xfrm>
          <a:off x="12344400" y="381000"/>
          <a:ext cx="1181100" cy="390525"/>
        </a:xfrm>
        <a:prstGeom prst="flowChartAlternateProcess">
          <a:avLst/>
        </a:prstGeom>
        <a:solidFill>
          <a:schemeClr val="tx2"/>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400" b="1"/>
            <a:t>NEXT</a:t>
          </a:r>
        </a:p>
      </xdr:txBody>
    </xdr:sp>
    <xdr:clientData/>
  </xdr:twoCellAnchor>
  <xdr:twoCellAnchor>
    <xdr:from>
      <xdr:col>2</xdr:col>
      <xdr:colOff>800100</xdr:colOff>
      <xdr:row>1</xdr:row>
      <xdr:rowOff>95250</xdr:rowOff>
    </xdr:from>
    <xdr:to>
      <xdr:col>3</xdr:col>
      <xdr:colOff>914400</xdr:colOff>
      <xdr:row>1</xdr:row>
      <xdr:rowOff>485775</xdr:rowOff>
    </xdr:to>
    <xdr:sp macro="" textlink="">
      <xdr:nvSpPr>
        <xdr:cNvPr id="6" name="Flowchart: Alternate Process 5">
          <a:hlinkClick xmlns:r="http://schemas.openxmlformats.org/officeDocument/2006/relationships" r:id="rId3"/>
        </xdr:cNvPr>
        <xdr:cNvSpPr/>
      </xdr:nvSpPr>
      <xdr:spPr>
        <a:xfrm>
          <a:off x="1295400" y="419100"/>
          <a:ext cx="1285875" cy="390525"/>
        </a:xfrm>
        <a:prstGeom prst="flowChartAlternateProcess">
          <a:avLst/>
        </a:prstGeom>
        <a:solidFill>
          <a:schemeClr val="tx2"/>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400" b="1"/>
            <a:t>BACK</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1028700</xdr:colOff>
      <xdr:row>2</xdr:row>
      <xdr:rowOff>9525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28700" cy="923925"/>
        </a:xfrm>
        <a:prstGeom prst="rect">
          <a:avLst/>
        </a:prstGeom>
      </xdr:spPr>
    </xdr:pic>
    <xdr:clientData/>
  </xdr:twoCellAnchor>
  <xdr:twoCellAnchor>
    <xdr:from>
      <xdr:col>12</xdr:col>
      <xdr:colOff>352425</xdr:colOff>
      <xdr:row>1</xdr:row>
      <xdr:rowOff>47625</xdr:rowOff>
    </xdr:from>
    <xdr:to>
      <xdr:col>14</xdr:col>
      <xdr:colOff>314325</xdr:colOff>
      <xdr:row>1</xdr:row>
      <xdr:rowOff>438150</xdr:rowOff>
    </xdr:to>
    <xdr:sp macro="" textlink="">
      <xdr:nvSpPr>
        <xdr:cNvPr id="4" name="Flowchart: Alternate Process 3">
          <a:hlinkClick xmlns:r="http://schemas.openxmlformats.org/officeDocument/2006/relationships" r:id="rId2"/>
        </xdr:cNvPr>
        <xdr:cNvSpPr/>
      </xdr:nvSpPr>
      <xdr:spPr>
        <a:xfrm>
          <a:off x="12411075" y="371475"/>
          <a:ext cx="1181100" cy="390525"/>
        </a:xfrm>
        <a:prstGeom prst="flowChartAlternateProcess">
          <a:avLst/>
        </a:prstGeom>
        <a:solidFill>
          <a:schemeClr val="tx2"/>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400" b="1"/>
            <a:t>NEXT</a:t>
          </a:r>
        </a:p>
      </xdr:txBody>
    </xdr:sp>
    <xdr:clientData/>
  </xdr:twoCellAnchor>
  <xdr:twoCellAnchor>
    <xdr:from>
      <xdr:col>1</xdr:col>
      <xdr:colOff>0</xdr:colOff>
      <xdr:row>1</xdr:row>
      <xdr:rowOff>85725</xdr:rowOff>
    </xdr:from>
    <xdr:to>
      <xdr:col>1</xdr:col>
      <xdr:colOff>933450</xdr:colOff>
      <xdr:row>1</xdr:row>
      <xdr:rowOff>476250</xdr:rowOff>
    </xdr:to>
    <xdr:sp macro="" textlink="">
      <xdr:nvSpPr>
        <xdr:cNvPr id="5" name="Flowchart: Alternate Process 4">
          <a:hlinkClick xmlns:r="http://schemas.openxmlformats.org/officeDocument/2006/relationships" r:id="rId3"/>
        </xdr:cNvPr>
        <xdr:cNvSpPr/>
      </xdr:nvSpPr>
      <xdr:spPr>
        <a:xfrm>
          <a:off x="1447800" y="409575"/>
          <a:ext cx="1247775" cy="390525"/>
        </a:xfrm>
        <a:prstGeom prst="flowChartAlternateProcess">
          <a:avLst/>
        </a:prstGeom>
        <a:solidFill>
          <a:schemeClr val="tx2"/>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400" b="1"/>
            <a:t>BACK</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2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R47"/>
  <sheetViews>
    <sheetView showGridLines="0" showRowColHeaders="0" workbookViewId="0">
      <selection activeCell="N44" sqref="N44"/>
    </sheetView>
  </sheetViews>
  <sheetFormatPr defaultColWidth="9.140625" defaultRowHeight="15" x14ac:dyDescent="0.25"/>
  <cols>
    <col min="1" max="1" width="14.7109375" style="2" bestFit="1" customWidth="1"/>
    <col min="2" max="16384" width="9.140625" style="2"/>
  </cols>
  <sheetData>
    <row r="1" spans="1:18" s="1" customFormat="1" ht="25.5" customHeight="1" x14ac:dyDescent="0.25">
      <c r="C1" s="686" t="s">
        <v>93</v>
      </c>
      <c r="D1" s="686"/>
      <c r="E1" s="686"/>
      <c r="F1" s="686"/>
      <c r="G1" s="686"/>
      <c r="H1" s="686"/>
      <c r="I1" s="686"/>
      <c r="J1" s="686"/>
      <c r="K1" s="686"/>
      <c r="L1" s="686"/>
      <c r="M1" s="686"/>
      <c r="N1" s="686"/>
      <c r="O1" s="686"/>
    </row>
    <row r="2" spans="1:18" s="3" customFormat="1" ht="46.5" customHeight="1" x14ac:dyDescent="0.25">
      <c r="C2" s="686"/>
      <c r="D2" s="686"/>
      <c r="E2" s="686"/>
      <c r="F2" s="686"/>
      <c r="G2" s="686"/>
      <c r="H2" s="686"/>
      <c r="I2" s="686"/>
      <c r="J2" s="686"/>
      <c r="K2" s="686"/>
      <c r="L2" s="686"/>
      <c r="M2" s="686"/>
      <c r="N2" s="686"/>
      <c r="O2" s="686"/>
    </row>
    <row r="3" spans="1:18" x14ac:dyDescent="0.25">
      <c r="A3" s="687" t="s">
        <v>319</v>
      </c>
      <c r="B3" s="687"/>
      <c r="C3" s="687"/>
      <c r="D3" s="687"/>
      <c r="E3" s="687"/>
      <c r="F3" s="687"/>
      <c r="G3" s="687"/>
      <c r="H3" s="687"/>
      <c r="I3" s="687"/>
      <c r="J3" s="687"/>
      <c r="K3" s="687"/>
      <c r="L3" s="687"/>
      <c r="M3" s="687"/>
      <c r="N3" s="687"/>
      <c r="O3" s="687"/>
      <c r="P3" s="687"/>
      <c r="Q3" s="687"/>
    </row>
    <row r="4" spans="1:18" ht="24" customHeight="1" x14ac:dyDescent="0.25">
      <c r="A4" s="687"/>
      <c r="B4" s="687"/>
      <c r="C4" s="687"/>
      <c r="D4" s="687"/>
      <c r="E4" s="687"/>
      <c r="F4" s="687"/>
      <c r="G4" s="687"/>
      <c r="H4" s="687"/>
      <c r="I4" s="687"/>
      <c r="J4" s="687"/>
      <c r="K4" s="687"/>
      <c r="L4" s="687"/>
      <c r="M4" s="687"/>
      <c r="N4" s="687"/>
      <c r="O4" s="687"/>
      <c r="P4" s="687"/>
      <c r="Q4" s="687"/>
    </row>
    <row r="5" spans="1:18" s="95" customFormat="1" ht="27" customHeight="1" x14ac:dyDescent="0.7">
      <c r="A5" s="332"/>
      <c r="B5" s="332"/>
      <c r="C5" s="332"/>
      <c r="D5" s="332"/>
      <c r="E5" s="332"/>
      <c r="F5" s="332"/>
      <c r="G5" s="332"/>
      <c r="H5" s="332"/>
      <c r="I5" s="332"/>
      <c r="J5" s="332"/>
      <c r="K5" s="332"/>
      <c r="L5" s="332"/>
      <c r="M5" s="98"/>
      <c r="N5" s="98"/>
      <c r="O5" s="98"/>
      <c r="P5" s="98"/>
      <c r="Q5" s="98"/>
      <c r="R5" s="98"/>
    </row>
    <row r="6" spans="1:18" ht="18.75" x14ac:dyDescent="0.3">
      <c r="A6" s="153"/>
      <c r="C6" s="525"/>
      <c r="D6" s="688" t="s">
        <v>339</v>
      </c>
      <c r="E6" s="688"/>
      <c r="F6" s="688"/>
      <c r="G6" s="688"/>
      <c r="H6" s="688"/>
      <c r="I6" s="688"/>
      <c r="J6" s="688"/>
      <c r="K6" s="688"/>
      <c r="L6" s="525"/>
      <c r="M6" s="525"/>
      <c r="N6" s="525"/>
      <c r="O6" s="525"/>
    </row>
    <row r="7" spans="1:18" x14ac:dyDescent="0.25">
      <c r="F7" s="99"/>
      <c r="G7" s="100" t="s">
        <v>40</v>
      </c>
      <c r="H7" s="100"/>
      <c r="I7" s="46"/>
      <c r="J7" s="46"/>
    </row>
    <row r="8" spans="1:18" x14ac:dyDescent="0.25">
      <c r="F8" s="99"/>
      <c r="G8" s="100" t="s">
        <v>328</v>
      </c>
      <c r="H8" s="100"/>
      <c r="I8" s="46"/>
      <c r="J8" s="46"/>
    </row>
    <row r="9" spans="1:18" x14ac:dyDescent="0.25">
      <c r="F9" s="101"/>
      <c r="G9" s="100" t="s">
        <v>316</v>
      </c>
      <c r="H9" s="100"/>
      <c r="I9" s="46"/>
      <c r="J9" s="46"/>
    </row>
    <row r="10" spans="1:18" x14ac:dyDescent="0.25">
      <c r="F10" s="99"/>
      <c r="G10" s="100" t="s">
        <v>103</v>
      </c>
      <c r="H10" s="100"/>
      <c r="I10" s="46"/>
      <c r="J10" s="46"/>
      <c r="K10" s="153"/>
    </row>
    <row r="11" spans="1:18" x14ac:dyDescent="0.25">
      <c r="G11" s="100" t="s">
        <v>317</v>
      </c>
      <c r="H11" s="100"/>
      <c r="I11" s="46"/>
      <c r="J11" s="46"/>
      <c r="K11" s="153"/>
    </row>
    <row r="12" spans="1:18" x14ac:dyDescent="0.25">
      <c r="F12" s="99"/>
      <c r="G12" s="100" t="s">
        <v>318</v>
      </c>
      <c r="H12" s="99"/>
      <c r="I12" s="46"/>
      <c r="J12" s="46"/>
    </row>
    <row r="13" spans="1:18" x14ac:dyDescent="0.25">
      <c r="F13" s="99"/>
      <c r="G13" s="100" t="s">
        <v>95</v>
      </c>
      <c r="H13" s="100"/>
      <c r="I13" s="46"/>
      <c r="J13" s="46"/>
    </row>
    <row r="14" spans="1:18" x14ac:dyDescent="0.25">
      <c r="F14" s="99"/>
      <c r="G14" s="100" t="s">
        <v>77</v>
      </c>
      <c r="H14" s="99"/>
    </row>
    <row r="15" spans="1:18" x14ac:dyDescent="0.25">
      <c r="F15" s="99"/>
      <c r="G15" s="100" t="s">
        <v>41</v>
      </c>
      <c r="H15" s="99"/>
    </row>
    <row r="16" spans="1:18" x14ac:dyDescent="0.25">
      <c r="F16" s="99"/>
      <c r="G16" s="100" t="s">
        <v>102</v>
      </c>
      <c r="H16" s="99"/>
    </row>
    <row r="17" spans="6:7" x14ac:dyDescent="0.25">
      <c r="G17" s="100" t="s">
        <v>327</v>
      </c>
    </row>
    <row r="19" spans="6:7" x14ac:dyDescent="0.25">
      <c r="F19" s="685">
        <v>42514</v>
      </c>
      <c r="G19" s="685"/>
    </row>
    <row r="20" spans="6:7" x14ac:dyDescent="0.25">
      <c r="G20" s="17"/>
    </row>
    <row r="28" spans="6:7" x14ac:dyDescent="0.25">
      <c r="F28" s="325"/>
    </row>
    <row r="39" spans="1:15" x14ac:dyDescent="0.25">
      <c r="A39" s="551">
        <v>41662</v>
      </c>
      <c r="B39" s="2" t="s">
        <v>432</v>
      </c>
    </row>
    <row r="40" spans="1:15" x14ac:dyDescent="0.25">
      <c r="A40" s="551">
        <v>41661</v>
      </c>
      <c r="B40" s="2" t="s">
        <v>389</v>
      </c>
    </row>
    <row r="41" spans="1:15" x14ac:dyDescent="0.25">
      <c r="A41" s="551">
        <v>41660</v>
      </c>
      <c r="B41" s="2" t="s">
        <v>378</v>
      </c>
    </row>
    <row r="42" spans="1:15" x14ac:dyDescent="0.25">
      <c r="A42" s="551">
        <v>41656</v>
      </c>
      <c r="B42" s="2" t="s">
        <v>379</v>
      </c>
    </row>
    <row r="43" spans="1:15" x14ac:dyDescent="0.25">
      <c r="A43" s="551">
        <v>41644</v>
      </c>
      <c r="B43" s="2" t="s">
        <v>380</v>
      </c>
    </row>
    <row r="44" spans="1:15" x14ac:dyDescent="0.25">
      <c r="A44" s="551">
        <v>41684</v>
      </c>
      <c r="B44" s="637" t="s">
        <v>434</v>
      </c>
      <c r="C44" s="637"/>
      <c r="D44" s="637"/>
      <c r="E44" s="637"/>
      <c r="F44" s="637"/>
      <c r="G44" s="637"/>
      <c r="H44" s="637"/>
      <c r="I44" s="637"/>
      <c r="J44" s="637"/>
      <c r="K44" s="637"/>
      <c r="L44" s="637"/>
      <c r="M44" s="637"/>
      <c r="N44" s="637"/>
      <c r="O44" s="637"/>
    </row>
    <row r="45" spans="1:15" x14ac:dyDescent="0.25">
      <c r="A45" s="551">
        <v>41694</v>
      </c>
      <c r="B45" s="2" t="s">
        <v>435</v>
      </c>
    </row>
    <row r="46" spans="1:15" x14ac:dyDescent="0.25">
      <c r="A46" s="551">
        <v>41715</v>
      </c>
      <c r="B46" s="2" t="s">
        <v>436</v>
      </c>
    </row>
    <row r="47" spans="1:15" x14ac:dyDescent="0.25">
      <c r="A47" s="551">
        <v>42065</v>
      </c>
      <c r="B47" s="2" t="s">
        <v>458</v>
      </c>
    </row>
  </sheetData>
  <mergeCells count="4">
    <mergeCell ref="F19:G19"/>
    <mergeCell ref="C1:O2"/>
    <mergeCell ref="A3:Q4"/>
    <mergeCell ref="D6:K6"/>
  </mergeCells>
  <pageMargins left="0.7" right="0.7" top="0.75" bottom="0.75" header="0.3" footer="0.3"/>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M15"/>
  <sheetViews>
    <sheetView zoomScaleNormal="100" workbookViewId="0">
      <selection activeCell="I32" sqref="I32"/>
    </sheetView>
  </sheetViews>
  <sheetFormatPr defaultColWidth="9.140625" defaultRowHeight="15" x14ac:dyDescent="0.25"/>
  <cols>
    <col min="1" max="1" width="6" style="2" customWidth="1"/>
    <col min="2" max="2" width="11" style="2" customWidth="1"/>
    <col min="3" max="3" width="6.7109375" style="2" customWidth="1"/>
    <col min="4" max="4" width="16.28515625" style="2" customWidth="1"/>
    <col min="5" max="5" width="16.42578125" style="2" customWidth="1"/>
    <col min="6" max="6" width="14.28515625" style="2" customWidth="1"/>
    <col min="7" max="7" width="19.140625" style="2" customWidth="1"/>
    <col min="8" max="8" width="20.42578125" style="2" customWidth="1"/>
    <col min="9" max="9" width="13.85546875" style="2" customWidth="1"/>
    <col min="10" max="10" width="16.85546875" style="2" customWidth="1"/>
    <col min="11" max="11" width="13.5703125" style="2" customWidth="1"/>
    <col min="12" max="12" width="17.42578125" style="2" customWidth="1"/>
    <col min="13" max="13" width="16.7109375" style="2" customWidth="1"/>
    <col min="14" max="16384" width="9.140625" style="2"/>
  </cols>
  <sheetData>
    <row r="1" spans="1:13" s="1" customFormat="1" ht="25.5" customHeight="1" x14ac:dyDescent="0.25"/>
    <row r="2" spans="1:13" s="3" customFormat="1" ht="46.5" customHeight="1" x14ac:dyDescent="0.25">
      <c r="C2" s="701" t="s">
        <v>207</v>
      </c>
      <c r="D2" s="701"/>
      <c r="E2" s="701"/>
      <c r="F2" s="701"/>
      <c r="G2" s="701"/>
      <c r="H2" s="701"/>
      <c r="I2" s="701"/>
      <c r="J2" s="701"/>
      <c r="K2" s="701"/>
      <c r="L2" s="701"/>
      <c r="M2" s="701"/>
    </row>
    <row r="3" spans="1:13" ht="9.75" customHeight="1" x14ac:dyDescent="0.25">
      <c r="C3" s="851" t="s">
        <v>244</v>
      </c>
      <c r="D3" s="851"/>
      <c r="E3" s="851"/>
      <c r="F3" s="851"/>
      <c r="G3" s="851"/>
      <c r="H3" s="851"/>
      <c r="I3" s="851"/>
      <c r="J3" s="851"/>
      <c r="K3" s="851"/>
      <c r="L3" s="851"/>
      <c r="M3" s="851"/>
    </row>
    <row r="4" spans="1:13" ht="10.5" customHeight="1" x14ac:dyDescent="0.25">
      <c r="C4" s="851"/>
      <c r="D4" s="851"/>
      <c r="E4" s="851"/>
      <c r="F4" s="851"/>
      <c r="G4" s="851"/>
      <c r="H4" s="851"/>
      <c r="I4" s="851"/>
      <c r="J4" s="851"/>
      <c r="K4" s="851"/>
      <c r="L4" s="851"/>
      <c r="M4" s="851"/>
    </row>
    <row r="5" spans="1:13" ht="10.5" customHeight="1" x14ac:dyDescent="0.25">
      <c r="G5" s="17"/>
    </row>
    <row r="6" spans="1:13" ht="23.25" customHeight="1" x14ac:dyDescent="0.25">
      <c r="G6" s="17"/>
    </row>
    <row r="7" spans="1:13" ht="18.75" customHeight="1" x14ac:dyDescent="0.3">
      <c r="A7" s="7"/>
      <c r="C7" s="235"/>
      <c r="D7" s="846" t="s">
        <v>5</v>
      </c>
      <c r="E7" s="852" t="s">
        <v>9</v>
      </c>
      <c r="F7" s="852" t="s">
        <v>11</v>
      </c>
      <c r="G7" s="852" t="s">
        <v>84</v>
      </c>
      <c r="H7" s="879" t="s">
        <v>85</v>
      </c>
      <c r="I7" s="881" t="s">
        <v>13</v>
      </c>
      <c r="J7" s="882"/>
      <c r="K7" s="798" t="s">
        <v>42</v>
      </c>
      <c r="L7" s="798"/>
      <c r="M7" s="875"/>
    </row>
    <row r="8" spans="1:13" ht="90" customHeight="1" thickBot="1" x14ac:dyDescent="0.3">
      <c r="A8" s="7"/>
      <c r="C8" s="235"/>
      <c r="D8" s="847"/>
      <c r="E8" s="853"/>
      <c r="F8" s="853"/>
      <c r="G8" s="853"/>
      <c r="H8" s="880"/>
      <c r="I8" s="56" t="s">
        <v>19</v>
      </c>
      <c r="J8" s="327" t="s">
        <v>20</v>
      </c>
      <c r="K8" s="58" t="s">
        <v>86</v>
      </c>
      <c r="L8" s="58" t="s">
        <v>70</v>
      </c>
      <c r="M8" s="57" t="s">
        <v>69</v>
      </c>
    </row>
    <row r="9" spans="1:13" ht="18.75" customHeight="1" x14ac:dyDescent="0.25">
      <c r="A9" s="7"/>
      <c r="C9" s="235"/>
      <c r="D9" s="859" t="str">
        <f>FMDR!C9</f>
        <v>6 - 60 months</v>
      </c>
      <c r="E9" s="863">
        <v>0.55000000000000004</v>
      </c>
      <c r="F9" s="866">
        <v>1</v>
      </c>
      <c r="G9" s="884">
        <v>4</v>
      </c>
      <c r="H9" s="856">
        <v>8</v>
      </c>
      <c r="I9" s="883">
        <v>5</v>
      </c>
      <c r="J9" s="806">
        <v>3</v>
      </c>
      <c r="K9" s="872">
        <f>(I9*G9)+(J9*H9)</f>
        <v>44</v>
      </c>
      <c r="L9" s="876">
        <f>$K$9*(E9*Population!I11)</f>
        <v>62315.000000000007</v>
      </c>
      <c r="M9" s="869">
        <f>$K$9*(F9*Population!I11)</f>
        <v>113300</v>
      </c>
    </row>
    <row r="10" spans="1:13" ht="15.75" customHeight="1" x14ac:dyDescent="0.25">
      <c r="A10" s="7"/>
      <c r="C10" s="235"/>
      <c r="D10" s="860"/>
      <c r="E10" s="864"/>
      <c r="F10" s="867"/>
      <c r="G10" s="885"/>
      <c r="H10" s="857"/>
      <c r="I10" s="827"/>
      <c r="J10" s="807"/>
      <c r="K10" s="873"/>
      <c r="L10" s="877"/>
      <c r="M10" s="870"/>
    </row>
    <row r="11" spans="1:13" ht="15" customHeight="1" x14ac:dyDescent="0.25">
      <c r="A11" s="7"/>
      <c r="D11" s="861"/>
      <c r="E11" s="864"/>
      <c r="F11" s="867"/>
      <c r="G11" s="885"/>
      <c r="H11" s="857"/>
      <c r="I11" s="827"/>
      <c r="J11" s="807"/>
      <c r="K11" s="873"/>
      <c r="L11" s="877"/>
      <c r="M11" s="870"/>
    </row>
    <row r="12" spans="1:13" ht="15" customHeight="1" x14ac:dyDescent="0.25">
      <c r="D12" s="861"/>
      <c r="E12" s="864"/>
      <c r="F12" s="867"/>
      <c r="G12" s="885"/>
      <c r="H12" s="857"/>
      <c r="I12" s="827"/>
      <c r="J12" s="807"/>
      <c r="K12" s="873"/>
      <c r="L12" s="877"/>
      <c r="M12" s="870"/>
    </row>
    <row r="13" spans="1:13" ht="15.75" customHeight="1" thickBot="1" x14ac:dyDescent="0.3">
      <c r="D13" s="862"/>
      <c r="E13" s="865"/>
      <c r="F13" s="868"/>
      <c r="G13" s="886"/>
      <c r="H13" s="858"/>
      <c r="I13" s="828"/>
      <c r="J13" s="808"/>
      <c r="K13" s="874"/>
      <c r="L13" s="878"/>
      <c r="M13" s="871"/>
    </row>
    <row r="14" spans="1:13" ht="15.75" customHeight="1" thickTop="1" x14ac:dyDescent="0.25">
      <c r="F14" s="7"/>
      <c r="I14" s="42"/>
    </row>
    <row r="15" spans="1:13" x14ac:dyDescent="0.25">
      <c r="D15" s="2" t="s">
        <v>298</v>
      </c>
      <c r="I15" s="7"/>
      <c r="J15" s="17"/>
    </row>
  </sheetData>
  <mergeCells count="19">
    <mergeCell ref="K7:M7"/>
    <mergeCell ref="C2:M2"/>
    <mergeCell ref="F7:F8"/>
    <mergeCell ref="J9:J13"/>
    <mergeCell ref="L9:L13"/>
    <mergeCell ref="C3:M4"/>
    <mergeCell ref="D7:D8"/>
    <mergeCell ref="E7:E8"/>
    <mergeCell ref="G7:G8"/>
    <mergeCell ref="H7:H8"/>
    <mergeCell ref="I7:J7"/>
    <mergeCell ref="I9:I13"/>
    <mergeCell ref="G9:G13"/>
    <mergeCell ref="H9:H13"/>
    <mergeCell ref="D9:D13"/>
    <mergeCell ref="E9:E13"/>
    <mergeCell ref="F9:F13"/>
    <mergeCell ref="M9:M13"/>
    <mergeCell ref="K9:K13"/>
  </mergeCells>
  <dataValidations count="6">
    <dataValidation allowBlank="1" showInputMessage="1" showErrorMessage="1" promptTitle="Current Population Coverage" prompt="The current population coverage was obtained from data describing toothbrush/toothpaste practices in the YK Region." sqref="E9:E13"/>
    <dataValidation allowBlank="1" showInputMessage="1" showErrorMessage="1" promptTitle="Average Number of Toothbrushes" prompt="We estimated that toothbrushes should be exchanged every 3 months, thus concluding that a child should receive 4 toothbrushes within a given year." sqref="G9:G13"/>
    <dataValidation allowBlank="1" showInputMessage="1" showErrorMessage="1" promptTitle="Avg Number of Toothpaste Tubes" prompt="We estimated that 2 tubes of toothpaste should be used for each toothbrush.  Thus for 4 toothbrushes, children should receive 8 tubes of toothpaste." sqref="H9:H13"/>
    <dataValidation allowBlank="1" showInputMessage="1" showErrorMessage="1" promptTitle="Population Coverage" prompt="We assumed that the Ideal population coverage for most interventions is 100%." sqref="F9:F13"/>
    <dataValidation allowBlank="1" showInputMessage="1" showErrorMessage="1" promptTitle="Cost of Toothbrush" prompt="Enter the estimated cost of a toothbrush." sqref="I9:I13"/>
    <dataValidation allowBlank="1" showInputMessage="1" showErrorMessage="1" promptTitle="Toothpaste Cost" prompt="Enter the estimated cost of a tube of toothpaste." sqref="J9:J13"/>
  </dataValidation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M19"/>
  <sheetViews>
    <sheetView zoomScaleNormal="100" workbookViewId="0">
      <selection activeCell="I33" sqref="I33"/>
    </sheetView>
  </sheetViews>
  <sheetFormatPr defaultColWidth="9.140625" defaultRowHeight="15" x14ac:dyDescent="0.25"/>
  <cols>
    <col min="1" max="1" width="3" style="2" customWidth="1"/>
    <col min="2" max="2" width="14.140625" style="2" customWidth="1"/>
    <col min="3" max="3" width="9.7109375" style="2" customWidth="1"/>
    <col min="4" max="5" width="17.28515625" style="2" customWidth="1"/>
    <col min="6" max="6" width="28.140625" style="2" customWidth="1"/>
    <col min="7" max="7" width="14.7109375" style="2" customWidth="1"/>
    <col min="8" max="8" width="19.5703125" style="2" customWidth="1"/>
    <col min="9" max="9" width="16.42578125" style="2" customWidth="1"/>
    <col min="10" max="10" width="19.140625" style="2" customWidth="1"/>
    <col min="11" max="11" width="18.28515625" style="2" customWidth="1"/>
    <col min="12" max="16384" width="9.140625" style="2"/>
  </cols>
  <sheetData>
    <row r="1" spans="1:13" s="1" customFormat="1" ht="25.5" customHeight="1" x14ac:dyDescent="0.25"/>
    <row r="2" spans="1:13" s="3" customFormat="1" ht="46.5" customHeight="1" x14ac:dyDescent="0.25">
      <c r="C2" s="8"/>
      <c r="D2" s="701" t="s">
        <v>243</v>
      </c>
      <c r="E2" s="701"/>
      <c r="F2" s="701"/>
      <c r="G2" s="701"/>
      <c r="H2" s="701"/>
      <c r="I2" s="701"/>
      <c r="J2" s="701"/>
      <c r="K2" s="701"/>
      <c r="L2" s="701"/>
      <c r="M2" s="701"/>
    </row>
    <row r="3" spans="1:13" ht="16.5" customHeight="1" x14ac:dyDescent="0.25">
      <c r="D3" s="887" t="s">
        <v>288</v>
      </c>
      <c r="E3" s="887"/>
      <c r="F3" s="887"/>
      <c r="G3" s="887"/>
      <c r="H3" s="887"/>
      <c r="I3" s="887"/>
      <c r="J3" s="887"/>
      <c r="K3" s="887"/>
      <c r="L3" s="887"/>
      <c r="M3" s="887"/>
    </row>
    <row r="4" spans="1:13" ht="15" customHeight="1" x14ac:dyDescent="0.25">
      <c r="D4" s="887"/>
      <c r="E4" s="887"/>
      <c r="F4" s="887"/>
      <c r="G4" s="887"/>
      <c r="H4" s="887"/>
      <c r="I4" s="887"/>
      <c r="J4" s="887"/>
      <c r="K4" s="887"/>
      <c r="L4" s="887"/>
      <c r="M4" s="887"/>
    </row>
    <row r="5" spans="1:13" ht="23.25" customHeight="1" x14ac:dyDescent="0.25">
      <c r="C5" s="17"/>
      <c r="D5" s="17"/>
      <c r="E5" s="17"/>
      <c r="I5" s="7"/>
    </row>
    <row r="6" spans="1:13" ht="18.75" customHeight="1" x14ac:dyDescent="0.3">
      <c r="A6" s="7"/>
      <c r="C6" s="235"/>
      <c r="D6" s="846" t="s">
        <v>5</v>
      </c>
      <c r="E6" s="638"/>
      <c r="F6" s="639" t="s">
        <v>248</v>
      </c>
      <c r="G6" s="640"/>
      <c r="H6" s="641"/>
      <c r="I6" s="124"/>
      <c r="J6" s="295" t="s">
        <v>46</v>
      </c>
      <c r="K6" s="296"/>
    </row>
    <row r="7" spans="1:13" ht="54" customHeight="1" thickBot="1" x14ac:dyDescent="0.3">
      <c r="A7" s="7"/>
      <c r="C7" s="235"/>
      <c r="D7" s="847"/>
      <c r="E7" s="461" t="s">
        <v>250</v>
      </c>
      <c r="F7" s="144" t="s">
        <v>249</v>
      </c>
      <c r="G7" s="294" t="s">
        <v>12</v>
      </c>
      <c r="H7" s="38" t="s">
        <v>11</v>
      </c>
      <c r="I7" s="125" t="s">
        <v>110</v>
      </c>
      <c r="J7" s="58" t="s">
        <v>38</v>
      </c>
      <c r="K7" s="57" t="s">
        <v>39</v>
      </c>
    </row>
    <row r="8" spans="1:13" ht="18.75" customHeight="1" x14ac:dyDescent="0.25">
      <c r="A8" s="7"/>
      <c r="C8" s="235"/>
      <c r="D8" s="859" t="s">
        <v>442</v>
      </c>
      <c r="E8" s="904">
        <f>(Population!I6)+(Population!I7/2)</f>
        <v>570</v>
      </c>
      <c r="F8" s="891">
        <v>162</v>
      </c>
      <c r="G8" s="894">
        <f>F8/E8</f>
        <v>0.28421052631578947</v>
      </c>
      <c r="H8" s="901">
        <v>1</v>
      </c>
      <c r="I8" s="897">
        <f>Caries!J7</f>
        <v>66.98</v>
      </c>
      <c r="J8" s="872">
        <f>F8*$I$8</f>
        <v>10850.76</v>
      </c>
      <c r="K8" s="888">
        <f>$I$8*(H8*(E8))</f>
        <v>38178.600000000006</v>
      </c>
    </row>
    <row r="9" spans="1:13" ht="15.75" customHeight="1" x14ac:dyDescent="0.25">
      <c r="A9" s="7"/>
      <c r="C9" s="235"/>
      <c r="D9" s="860"/>
      <c r="E9" s="905"/>
      <c r="F9" s="892"/>
      <c r="G9" s="895"/>
      <c r="H9" s="902"/>
      <c r="I9" s="898"/>
      <c r="J9" s="873"/>
      <c r="K9" s="889"/>
    </row>
    <row r="10" spans="1:13" ht="15" customHeight="1" thickBot="1" x14ac:dyDescent="0.3">
      <c r="C10" s="235"/>
      <c r="D10" s="900"/>
      <c r="E10" s="906"/>
      <c r="F10" s="893"/>
      <c r="G10" s="896"/>
      <c r="H10" s="903"/>
      <c r="I10" s="899"/>
      <c r="J10" s="874"/>
      <c r="K10" s="890"/>
    </row>
    <row r="11" spans="1:13" ht="16.5" customHeight="1" thickTop="1" x14ac:dyDescent="0.25">
      <c r="D11" s="17"/>
      <c r="E11" s="17"/>
      <c r="F11" s="17"/>
      <c r="G11" s="17"/>
    </row>
    <row r="12" spans="1:13" ht="15.75" customHeight="1" x14ac:dyDescent="0.25">
      <c r="D12" s="2" t="s">
        <v>299</v>
      </c>
      <c r="G12" s="17"/>
    </row>
    <row r="13" spans="1:13" x14ac:dyDescent="0.25">
      <c r="J13" s="17"/>
    </row>
    <row r="14" spans="1:13" x14ac:dyDescent="0.25">
      <c r="D14" s="99" t="s">
        <v>323</v>
      </c>
      <c r="E14" s="99"/>
      <c r="H14" s="17"/>
      <c r="J14" s="17"/>
    </row>
    <row r="15" spans="1:13" x14ac:dyDescent="0.25">
      <c r="F15" s="17"/>
      <c r="I15" s="17"/>
    </row>
    <row r="16" spans="1:13" x14ac:dyDescent="0.25">
      <c r="F16" s="17"/>
    </row>
    <row r="17" spans="3:9" x14ac:dyDescent="0.25">
      <c r="F17" s="17"/>
      <c r="I17" s="7"/>
    </row>
    <row r="18" spans="3:9" x14ac:dyDescent="0.25">
      <c r="D18" s="17"/>
    </row>
    <row r="19" spans="3:9" x14ac:dyDescent="0.25">
      <c r="C19" s="7"/>
    </row>
  </sheetData>
  <mergeCells count="11">
    <mergeCell ref="D2:M2"/>
    <mergeCell ref="D3:M4"/>
    <mergeCell ref="K8:K10"/>
    <mergeCell ref="F8:F10"/>
    <mergeCell ref="D6:D7"/>
    <mergeCell ref="G8:G10"/>
    <mergeCell ref="I8:I10"/>
    <mergeCell ref="J8:J10"/>
    <mergeCell ref="D8:D10"/>
    <mergeCell ref="H8:H10"/>
    <mergeCell ref="E8:E10"/>
  </mergeCells>
  <dataValidations count="5">
    <dataValidation allowBlank="1" showInputMessage="1" showErrorMessage="1" promptTitle="Population Coverage" prompt="Percentage of population that is affected/participates in the intervention." sqref="H8"/>
    <dataValidation allowBlank="1" showInputMessage="1" showErrorMessage="1" promptTitle="Total Cost" prompt="We assume that each child has only one exam per year" sqref="J8:K8"/>
    <dataValidation allowBlank="1" showInputMessage="1" showErrorMessage="1" promptTitle="Number of Initial Exams" prompt="Enter the actual number of initial exams done on children before 18 months of age during a given year.  The data presented here was obtained from Dana Bruden at AIP." sqref="F8:F10"/>
    <dataValidation allowBlank="1" showInputMessage="1" showErrorMessage="1" promptTitle="Current Population Coverage" prompt="The population coverage is the current percentage of persons that are participating in the intervention." sqref="G8:G10"/>
    <dataValidation allowBlank="1" showInputMessage="1" showErrorMessage="1" promptTitle="Medicaid Reimbursement" prompt="We assume that each child has only one exam per year.  Dentist are reimbursed per child per exam as reported by Alaska Medicaid for ADA CDT Codes SFY 2013." sqref="I8:I10"/>
  </dataValidation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1"/>
  <dimension ref="A1:V32"/>
  <sheetViews>
    <sheetView workbookViewId="0">
      <selection activeCell="A31" sqref="A31"/>
    </sheetView>
  </sheetViews>
  <sheetFormatPr defaultColWidth="9.140625" defaultRowHeight="15" x14ac:dyDescent="0.25"/>
  <cols>
    <col min="1" max="1" width="17" style="2" customWidth="1"/>
    <col min="2" max="2" width="17.140625" style="2" customWidth="1"/>
    <col min="3" max="3" width="19.140625" style="2" customWidth="1"/>
    <col min="4" max="4" width="14.7109375" style="2" customWidth="1"/>
    <col min="5" max="5" width="28" style="2" customWidth="1"/>
    <col min="6" max="6" width="14" style="2" customWidth="1"/>
    <col min="7" max="7" width="17.42578125" style="2" customWidth="1"/>
    <col min="8" max="8" width="17.85546875" style="2" customWidth="1"/>
    <col min="9" max="9" width="20.140625" style="2" customWidth="1"/>
    <col min="10" max="16384" width="9.140625" style="2"/>
  </cols>
  <sheetData>
    <row r="1" spans="1:22" s="1" customFormat="1" ht="25.5" customHeight="1" x14ac:dyDescent="0.25"/>
    <row r="2" spans="1:22" s="3" customFormat="1" ht="46.5" customHeight="1" x14ac:dyDescent="0.25">
      <c r="D2" s="701" t="s">
        <v>26</v>
      </c>
      <c r="E2" s="701"/>
      <c r="F2" s="701"/>
      <c r="G2" s="701"/>
      <c r="H2" s="701"/>
      <c r="I2" s="701"/>
      <c r="J2" s="701"/>
    </row>
    <row r="3" spans="1:22" ht="18" customHeight="1" x14ac:dyDescent="0.3">
      <c r="D3" s="908" t="s">
        <v>167</v>
      </c>
      <c r="E3" s="908"/>
      <c r="F3" s="908"/>
      <c r="G3" s="908"/>
      <c r="H3" s="908"/>
      <c r="I3" s="908"/>
      <c r="J3" s="908"/>
      <c r="V3" s="2">
        <v>1</v>
      </c>
    </row>
    <row r="4" spans="1:22" ht="18" customHeight="1" x14ac:dyDescent="0.3">
      <c r="C4" s="328"/>
      <c r="V4" s="2">
        <v>4</v>
      </c>
    </row>
    <row r="5" spans="1:22" ht="18.75" customHeight="1" x14ac:dyDescent="0.3">
      <c r="B5" s="7"/>
      <c r="E5" s="846" t="s">
        <v>14</v>
      </c>
      <c r="F5" s="909" t="s">
        <v>4</v>
      </c>
      <c r="G5" s="910"/>
    </row>
    <row r="6" spans="1:22" ht="51.75" customHeight="1" thickBot="1" x14ac:dyDescent="0.3">
      <c r="B6" s="7"/>
      <c r="E6" s="907"/>
      <c r="F6" s="15" t="s">
        <v>104</v>
      </c>
      <c r="G6" s="40" t="s">
        <v>105</v>
      </c>
    </row>
    <row r="7" spans="1:22" ht="15.75" customHeight="1" thickBot="1" x14ac:dyDescent="0.3">
      <c r="A7" s="7"/>
      <c r="B7" s="7"/>
      <c r="E7" s="29" t="s">
        <v>437</v>
      </c>
      <c r="F7" s="44">
        <v>0.26</v>
      </c>
      <c r="G7" s="45">
        <v>0.35</v>
      </c>
    </row>
    <row r="8" spans="1:22" ht="15" customHeight="1" x14ac:dyDescent="0.25">
      <c r="A8" s="7"/>
      <c r="B8" s="7"/>
      <c r="E8" s="29" t="s">
        <v>438</v>
      </c>
      <c r="F8" s="48">
        <f>71%</f>
        <v>0.71</v>
      </c>
      <c r="G8" s="45">
        <f>78%</f>
        <v>0.78</v>
      </c>
      <c r="H8" s="17"/>
    </row>
    <row r="9" spans="1:22" ht="15" customHeight="1" x14ac:dyDescent="0.25">
      <c r="A9" s="7"/>
      <c r="B9" s="7"/>
      <c r="E9" s="29" t="s">
        <v>439</v>
      </c>
      <c r="F9" s="47">
        <v>0.18</v>
      </c>
      <c r="G9" s="49">
        <v>0.24</v>
      </c>
    </row>
    <row r="10" spans="1:22" ht="15.75" customHeight="1" x14ac:dyDescent="0.25">
      <c r="A10" s="7"/>
      <c r="B10" s="7"/>
      <c r="E10" s="29" t="s">
        <v>440</v>
      </c>
      <c r="F10" s="47">
        <v>0.21</v>
      </c>
      <c r="G10" s="49">
        <v>0.28000000000000003</v>
      </c>
    </row>
    <row r="11" spans="1:22" ht="33.75" customHeight="1" thickBot="1" x14ac:dyDescent="0.3">
      <c r="A11" s="7"/>
      <c r="B11" s="7"/>
      <c r="E11" s="457" t="s">
        <v>441</v>
      </c>
      <c r="F11" s="237">
        <v>0.22</v>
      </c>
      <c r="G11" s="41">
        <v>0.32</v>
      </c>
    </row>
    <row r="12" spans="1:22" ht="16.5" customHeight="1" thickTop="1" x14ac:dyDescent="0.25">
      <c r="D12" s="2" t="s">
        <v>168</v>
      </c>
      <c r="E12" s="238"/>
      <c r="F12" s="52"/>
      <c r="G12" s="140"/>
    </row>
    <row r="13" spans="1:22" ht="15.75" customHeight="1" x14ac:dyDescent="0.25">
      <c r="A13" s="17"/>
      <c r="C13" s="17"/>
      <c r="D13" s="50"/>
      <c r="E13" s="51"/>
      <c r="F13" s="17"/>
    </row>
    <row r="14" spans="1:22" x14ac:dyDescent="0.25">
      <c r="C14" s="17"/>
    </row>
    <row r="15" spans="1:22" x14ac:dyDescent="0.25">
      <c r="C15" s="17"/>
      <c r="F15" s="7"/>
    </row>
    <row r="17" spans="1:3" x14ac:dyDescent="0.25">
      <c r="A17" s="2" t="s">
        <v>300</v>
      </c>
    </row>
    <row r="18" spans="1:3" x14ac:dyDescent="0.25">
      <c r="A18" s="2" t="s">
        <v>301</v>
      </c>
    </row>
    <row r="19" spans="1:3" x14ac:dyDescent="0.25">
      <c r="A19" s="2" t="s">
        <v>302</v>
      </c>
    </row>
    <row r="20" spans="1:3" x14ac:dyDescent="0.25">
      <c r="A20" s="2" t="s">
        <v>303</v>
      </c>
    </row>
    <row r="21" spans="1:3" x14ac:dyDescent="0.25">
      <c r="A21" s="2" t="s">
        <v>304</v>
      </c>
    </row>
    <row r="22" spans="1:3" x14ac:dyDescent="0.25">
      <c r="A22" s="2" t="s">
        <v>474</v>
      </c>
    </row>
    <row r="23" spans="1:3" x14ac:dyDescent="0.25">
      <c r="A23" s="2" t="s">
        <v>305</v>
      </c>
    </row>
    <row r="24" spans="1:3" x14ac:dyDescent="0.25">
      <c r="A24" s="2" t="s">
        <v>306</v>
      </c>
    </row>
    <row r="25" spans="1:3" x14ac:dyDescent="0.25">
      <c r="A25" s="2" t="s">
        <v>53</v>
      </c>
    </row>
    <row r="26" spans="1:3" x14ac:dyDescent="0.25">
      <c r="A26" s="2" t="s">
        <v>307</v>
      </c>
    </row>
    <row r="27" spans="1:3" x14ac:dyDescent="0.25">
      <c r="A27" s="2" t="s">
        <v>308</v>
      </c>
    </row>
    <row r="28" spans="1:3" x14ac:dyDescent="0.25">
      <c r="A28" s="2" t="s">
        <v>208</v>
      </c>
    </row>
    <row r="29" spans="1:3" x14ac:dyDescent="0.25">
      <c r="A29" s="2" t="s">
        <v>309</v>
      </c>
    </row>
    <row r="30" spans="1:3" x14ac:dyDescent="0.25">
      <c r="A30" s="2" t="s">
        <v>475</v>
      </c>
    </row>
    <row r="31" spans="1:3" x14ac:dyDescent="0.25">
      <c r="A31" s="149" t="s">
        <v>310</v>
      </c>
    </row>
    <row r="32" spans="1:3" x14ac:dyDescent="0.25">
      <c r="A32" s="149" t="s">
        <v>311</v>
      </c>
      <c r="B32" s="149"/>
      <c r="C32" s="149"/>
    </row>
  </sheetData>
  <mergeCells count="4">
    <mergeCell ref="E5:E6"/>
    <mergeCell ref="D2:J2"/>
    <mergeCell ref="D3:J3"/>
    <mergeCell ref="F5:G5"/>
  </mergeCells>
  <dataValidations count="13">
    <dataValidation allowBlank="1" showInputMessage="1" showErrorMessage="1" promptTitle="What is Water Flouridation" prompt="Addition of Flouride into the current water-piping system.  Residents do not have any control over how much flouride is pumped into the system for this is sanctioned by the YK/Alaskan government." sqref="E7"/>
    <dataValidation allowBlank="1" showInputMessage="1" showErrorMessage="1" promptTitle="What are Dental Sealants?" prompt="Application of a protective bond between the tooth surface and the inner cavity, which inhibits bacterial growth thus keeping the tooth free of dental caries. Recommended number of sealants is a total of 8 on primary molars by 3rd bithday." sqref="E8"/>
    <dataValidation allowBlank="1" showInputMessage="1" showErrorMessage="1" promptTitle="What is Flouride Varnish?" prompt="Use of a topical flouride treatment that is painted in small amounts directly on tooth surfaces.  Most effective when applied directly on tooth surfaces at least 2X a year for children with endangered primary teeth or at well child visits (9 - 30 months)." sqref="E9"/>
    <dataValidation allowBlank="1" showInputMessage="1" showErrorMessage="1" promptTitle="What is Brushing?" prompt="The application of brushing a child's teeth with toothpaste twice daily either by the child or with asssitance of an adult.  Brushing must occur twice daily in order for it to be effective in reducing the probability of developing dental caries." sqref="E10"/>
    <dataValidation allowBlank="1" showInputMessage="1" showErrorMessage="1" promptTitle="What is the Inital Exam?" prompt="A child (18 - 60 months) must have visited and been examined by a dental health care provider prior to 18  months of age. Along with receiving the oral exam, a parent also receives dental health education on the most effective oral hygiene practices." sqref="E11"/>
    <dataValidation allowBlank="1" showInputMessage="1" showErrorMessage="1" promptTitle="Water Flouridation Effectiveness" prompt="Clark DC, et al. &quot;Effects of lifelong consumption of fluoridated water or use of fluoride supplements on dental caries prevalence&quot;. Community Dental Oral Epidemiology: Vol 23(1) Feb 1995; 20-24." sqref="F7"/>
    <dataValidation allowBlank="1" showInputMessage="1" showErrorMessage="1" promptTitle="Water Fluoridation Effectiveness" prompt="Dobson J, &quot;Overview of Water Fluoridation&quot;.  Alaska Area Dental Assistant Meeting. November 2010." sqref="G7"/>
    <dataValidation allowBlank="1" showInputMessage="1" showErrorMessage="1" promptTitle="Dental Sealants Effectivenes " prompt="Lesser D. &quot;An Overview of Dental Sealants&quot; 2001. Beauchamp J DDS, et al. &quot;Evidence-based clinical recommendations for the use of pit-and-fissure sealants&quot;. JADA, Vol 139 March 2008.  Reported as molar:teeth proportion and % effectiveness of molars." sqref="F8"/>
    <dataValidation allowBlank="1" showInputMessage="1" showErrorMessage="1" promptTitle="Dental Sealants Effectiveness" prompt="Dental Sealants: Special Supplemental Access Issue, July 2001.  78% of permanent first molars  that received sealants remained caries free. Value reported as product between % effectiveness of molars &amp; molar: permament teeth proportion." sqref="G8"/>
    <dataValidation allowBlank="1" showInputMessage="1" showErrorMessage="1" promptTitle="Flouride Varnish Effectiveness" prompt="Holm AK. Effect of fluoride varnish (duraphat) in preschool children. Comm Dental Oral Epi Vol 7 1979; 241-5.  Holve, S. &quot;An Observational Study of the Association of Fluoride Varnish Applied During Well Child Visits&quot; MCH Journal; Vol 12 2008; 64-67." sqref="F9"/>
    <dataValidation allowBlank="1" showInputMessage="1" showErrorMessage="1" promptTitle="Flouride Varnish Effectiveness" prompt="Vaikuntam, J. &quot;Flouride varnishes: should we be using them?&quot; Pediatric Dentistry; Vol 22; No 6 2000: 513-516." sqref="G9"/>
    <dataValidation allowBlank="1" showInputMessage="1" showErrorMessage="1" promptTitle="Brushing Effectiveness" prompt="Ellwood RP, et al. &quot;Relationship between area deprivation and the anticaries benefit of an oral health programme providing free fluroide toothpaste to young children&quot;. " sqref="F10 G10"/>
    <dataValidation allowBlank="1" showInputMessage="1" showErrorMessage="1" promptTitle="Initial Exam Effectiveness" prompt="Feldens CA, et al. Long-term effectiveness of a nutritional program in reducing early chilhood caries: a randomized trial.  Comm Dent Oral Epi 2010; 38: 324-332." sqref="F11:G11"/>
  </dataValidation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Z31"/>
  <sheetViews>
    <sheetView topLeftCell="E1" workbookViewId="0">
      <selection activeCell="O26" sqref="O26"/>
    </sheetView>
  </sheetViews>
  <sheetFormatPr defaultColWidth="9.140625" defaultRowHeight="15" x14ac:dyDescent="0.25"/>
  <cols>
    <col min="1" max="1" width="0.5703125" style="2" customWidth="1"/>
    <col min="2" max="2" width="18" style="2" customWidth="1"/>
    <col min="3" max="3" width="18.28515625" style="2" customWidth="1"/>
    <col min="4" max="4" width="13.85546875" style="2" customWidth="1"/>
    <col min="5" max="5" width="0.28515625" style="2" customWidth="1"/>
    <col min="6" max="6" width="16.5703125" style="2" customWidth="1"/>
    <col min="7" max="7" width="0.42578125" style="2" customWidth="1"/>
    <col min="8" max="8" width="22.42578125" style="2" customWidth="1"/>
    <col min="9" max="9" width="21.140625" style="2" customWidth="1"/>
    <col min="10" max="10" width="17.5703125" style="2" customWidth="1"/>
    <col min="11" max="12" width="20.5703125" style="2" customWidth="1"/>
    <col min="13" max="13" width="13.7109375" style="2" customWidth="1"/>
    <col min="14" max="14" width="0.28515625" style="2" customWidth="1"/>
    <col min="15" max="15" width="16.42578125" style="2" customWidth="1"/>
    <col min="16" max="16" width="17.140625" style="2" customWidth="1"/>
    <col min="17" max="17" width="14.7109375" style="2" customWidth="1"/>
    <col min="18" max="18" width="11.5703125" style="2" bestFit="1" customWidth="1"/>
    <col min="19" max="16384" width="9.140625" style="2"/>
  </cols>
  <sheetData>
    <row r="1" spans="1:19" s="1" customFormat="1" ht="26.25" customHeight="1" x14ac:dyDescent="0.25"/>
    <row r="2" spans="1:19" s="3" customFormat="1" ht="46.5" customHeight="1" x14ac:dyDescent="0.25">
      <c r="C2" s="911" t="s">
        <v>21</v>
      </c>
      <c r="D2" s="911"/>
      <c r="E2" s="911"/>
      <c r="F2" s="911"/>
      <c r="G2" s="911"/>
      <c r="H2" s="911"/>
      <c r="I2" s="911"/>
      <c r="J2" s="911"/>
      <c r="K2" s="911"/>
      <c r="L2" s="911"/>
      <c r="M2" s="911"/>
      <c r="N2" s="911"/>
      <c r="O2" s="911"/>
      <c r="P2" s="460"/>
      <c r="Q2" s="460"/>
      <c r="R2" s="8"/>
    </row>
    <row r="4" spans="1:19" ht="18.75" x14ac:dyDescent="0.3">
      <c r="B4" s="7"/>
      <c r="C4" s="529"/>
      <c r="D4" s="7"/>
      <c r="E4" s="68"/>
      <c r="F4" s="68"/>
      <c r="G4" s="37"/>
      <c r="I4" s="380" t="s">
        <v>5</v>
      </c>
      <c r="J4" s="146" t="str">
        <f>Fluoridation!C9</f>
        <v>6 - 60 months</v>
      </c>
      <c r="K4" s="529"/>
    </row>
    <row r="5" spans="1:19" ht="3" customHeight="1" x14ac:dyDescent="0.3">
      <c r="C5" s="37"/>
      <c r="D5" s="37"/>
      <c r="E5" s="37"/>
      <c r="F5" s="37"/>
      <c r="G5" s="36"/>
      <c r="H5" s="36"/>
      <c r="I5" s="36"/>
      <c r="J5" s="36"/>
    </row>
    <row r="6" spans="1:19" ht="18.75" x14ac:dyDescent="0.3">
      <c r="G6" s="798" t="s">
        <v>16</v>
      </c>
      <c r="H6" s="798"/>
      <c r="I6" s="444">
        <v>10</v>
      </c>
      <c r="J6" s="232" t="s">
        <v>157</v>
      </c>
      <c r="K6" s="233">
        <v>0.03</v>
      </c>
      <c r="M6" s="259"/>
      <c r="N6" s="19"/>
    </row>
    <row r="7" spans="1:19" ht="4.5" customHeight="1" x14ac:dyDescent="0.25"/>
    <row r="8" spans="1:19" ht="18.75" customHeight="1" x14ac:dyDescent="0.3">
      <c r="B8" s="852" t="s">
        <v>14</v>
      </c>
      <c r="C8" s="846" t="s">
        <v>80</v>
      </c>
      <c r="D8" s="917"/>
      <c r="E8" s="116"/>
      <c r="F8" s="145" t="s">
        <v>73</v>
      </c>
      <c r="G8" s="127"/>
      <c r="H8" s="434" t="s">
        <v>47</v>
      </c>
      <c r="I8" s="926" t="s">
        <v>240</v>
      </c>
      <c r="J8" s="927"/>
      <c r="K8" s="798" t="s">
        <v>74</v>
      </c>
      <c r="L8" s="798"/>
      <c r="M8" s="912"/>
      <c r="N8" s="134"/>
      <c r="O8" s="913" t="s">
        <v>49</v>
      </c>
      <c r="P8" s="798"/>
      <c r="Q8" s="914"/>
    </row>
    <row r="9" spans="1:19" ht="51.75" customHeight="1" x14ac:dyDescent="0.25">
      <c r="B9" s="852"/>
      <c r="C9" s="432" t="s">
        <v>71</v>
      </c>
      <c r="D9" s="429" t="s">
        <v>72</v>
      </c>
      <c r="E9" s="131"/>
      <c r="F9" s="453" t="s">
        <v>6</v>
      </c>
      <c r="G9" s="123"/>
      <c r="H9" s="454" t="s">
        <v>6</v>
      </c>
      <c r="I9" s="437" t="s">
        <v>237</v>
      </c>
      <c r="J9" s="436" t="s">
        <v>238</v>
      </c>
      <c r="K9" s="429" t="s">
        <v>75</v>
      </c>
      <c r="L9" s="430" t="s">
        <v>76</v>
      </c>
      <c r="M9" s="455" t="s">
        <v>153</v>
      </c>
      <c r="N9" s="134"/>
      <c r="O9" s="452" t="s">
        <v>50</v>
      </c>
      <c r="P9" s="451" t="s">
        <v>51</v>
      </c>
      <c r="Q9" s="431" t="s">
        <v>154</v>
      </c>
    </row>
    <row r="10" spans="1:19" ht="21.75" customHeight="1" x14ac:dyDescent="0.25">
      <c r="B10" s="930"/>
      <c r="C10" s="921" t="s">
        <v>235</v>
      </c>
      <c r="D10" s="922"/>
      <c r="E10" s="433"/>
      <c r="F10" s="923" t="s">
        <v>236</v>
      </c>
      <c r="G10" s="924"/>
      <c r="H10" s="925"/>
      <c r="I10" s="928" t="s">
        <v>239</v>
      </c>
      <c r="J10" s="929"/>
      <c r="K10" s="931" t="s">
        <v>241</v>
      </c>
      <c r="L10" s="932"/>
      <c r="M10" s="445" t="s">
        <v>242</v>
      </c>
      <c r="N10" s="134"/>
      <c r="O10" s="933" t="s">
        <v>241</v>
      </c>
      <c r="P10" s="934"/>
      <c r="Q10" s="456" t="s">
        <v>242</v>
      </c>
    </row>
    <row r="11" spans="1:19" ht="30.75" customHeight="1" x14ac:dyDescent="0.25">
      <c r="A11" s="24"/>
      <c r="B11" s="65" t="s">
        <v>0</v>
      </c>
      <c r="C11" s="446">
        <f>Villages!F13</f>
        <v>929</v>
      </c>
      <c r="D11" s="447">
        <f>Villages!F13+Villages!F35</f>
        <v>1759</v>
      </c>
      <c r="E11" s="132"/>
      <c r="F11" s="449">
        <f>Fluoridation!H9</f>
        <v>7090</v>
      </c>
      <c r="G11" s="128"/>
      <c r="H11" s="450">
        <f>Fluoridation!K9</f>
        <v>3625</v>
      </c>
      <c r="I11" s="448">
        <f>Fluoridation!L9</f>
        <v>18125</v>
      </c>
      <c r="J11" s="441">
        <f>Fluoridation!M9</f>
        <v>200280</v>
      </c>
      <c r="K11" s="462">
        <f>Discounting!B18</f>
        <v>17597.087378640776</v>
      </c>
      <c r="L11" s="462">
        <f>Discounting!D18</f>
        <v>194446.60194174756</v>
      </c>
      <c r="M11" s="463">
        <f t="shared" ref="M11:M15" si="0">L11-K11</f>
        <v>176849.51456310679</v>
      </c>
      <c r="N11" s="464"/>
      <c r="O11" s="465">
        <f>VLOOKUP($I$6,Discounting!A18:C27,3,)</f>
        <v>154609.92641656191</v>
      </c>
      <c r="P11" s="466">
        <f>VLOOKUP($I$6,Discounting!A18:E27,5,)</f>
        <v>797303.09370860062</v>
      </c>
      <c r="Q11" s="467">
        <f t="shared" ref="Q11:Q15" si="1">P11-O11</f>
        <v>642693.16729203868</v>
      </c>
      <c r="R11" s="79"/>
    </row>
    <row r="12" spans="1:19" ht="19.5" customHeight="1" x14ac:dyDescent="0.25">
      <c r="A12" s="24"/>
      <c r="B12" s="28" t="s">
        <v>3</v>
      </c>
      <c r="C12" s="30">
        <f>Population!I11*Sealants!H14</f>
        <v>250</v>
      </c>
      <c r="D12" s="130">
        <f>Population!I11*Sealants!I14</f>
        <v>2575</v>
      </c>
      <c r="E12" s="132"/>
      <c r="F12" s="916" t="s">
        <v>25</v>
      </c>
      <c r="G12" s="129"/>
      <c r="H12" s="918" t="s">
        <v>25</v>
      </c>
      <c r="I12" s="438">
        <f>Sealants!M14</f>
        <v>12420</v>
      </c>
      <c r="J12" s="442">
        <f>Sealants!N14</f>
        <v>226938.23999999999</v>
      </c>
      <c r="K12" s="31">
        <f>Discounting!B31</f>
        <v>12058.252427184465</v>
      </c>
      <c r="L12" s="63">
        <f>Discounting!D31</f>
        <v>220328.38834951454</v>
      </c>
      <c r="M12" s="254">
        <f t="shared" si="0"/>
        <v>208270.13592233008</v>
      </c>
      <c r="N12" s="134"/>
      <c r="O12" s="61">
        <f>VLOOKUP($I$6,Discounting!A31:C40,3,)</f>
        <v>105945.11923275581</v>
      </c>
      <c r="P12" s="252">
        <f>VLOOKUP($I$6,Discounting!A31:E40,5,)</f>
        <v>1935829.2186209143</v>
      </c>
      <c r="Q12" s="257">
        <f t="shared" si="1"/>
        <v>1829884.0993881584</v>
      </c>
    </row>
    <row r="13" spans="1:19" ht="15" customHeight="1" x14ac:dyDescent="0.25">
      <c r="A13" s="24"/>
      <c r="B13" s="28" t="s">
        <v>54</v>
      </c>
      <c r="C13" s="30">
        <f>Population!$I$11*Varnish!F14</f>
        <v>1311</v>
      </c>
      <c r="D13" s="130">
        <f>Population!$I$11*Varnish!G14</f>
        <v>2575</v>
      </c>
      <c r="E13" s="132"/>
      <c r="F13" s="916"/>
      <c r="G13" s="129"/>
      <c r="H13" s="919"/>
      <c r="I13" s="438">
        <f>Varnish!K14</f>
        <v>62923.154999999999</v>
      </c>
      <c r="J13" s="442">
        <f>Varnish!L14</f>
        <v>146775</v>
      </c>
      <c r="K13" s="592">
        <f>Discounting!B44</f>
        <v>61090.441747572811</v>
      </c>
      <c r="L13" s="63">
        <f>Discounting!D44</f>
        <v>142500</v>
      </c>
      <c r="M13" s="254">
        <f t="shared" si="0"/>
        <v>81409.558252427189</v>
      </c>
      <c r="N13" s="134"/>
      <c r="O13" s="62">
        <f>VLOOKUP($I$6,Discounting!A44:E53,3,FALSE)</f>
        <v>536747.27527988527</v>
      </c>
      <c r="P13" s="253">
        <f>VLOOKUP($I$6,Discounting!A44:E53,5,)</f>
        <v>1252020.5213677725</v>
      </c>
      <c r="Q13" s="257">
        <f t="shared" si="1"/>
        <v>715273.24608788721</v>
      </c>
    </row>
    <row r="14" spans="1:19" ht="31.5" customHeight="1" x14ac:dyDescent="0.25">
      <c r="A14" s="24"/>
      <c r="B14" s="64" t="s">
        <v>211</v>
      </c>
      <c r="C14" s="30">
        <f>Population!$I$11*Toothbrushes!E9</f>
        <v>1416.2500000000002</v>
      </c>
      <c r="D14" s="130">
        <f>Population!$I$11*Toothbrushes!F9</f>
        <v>2575</v>
      </c>
      <c r="E14" s="132"/>
      <c r="F14" s="916"/>
      <c r="G14" s="129"/>
      <c r="H14" s="919"/>
      <c r="I14" s="439">
        <f>Toothbrushes!L9</f>
        <v>62315.000000000007</v>
      </c>
      <c r="J14" s="442">
        <f>Toothbrushes!M9</f>
        <v>113300</v>
      </c>
      <c r="K14" s="32">
        <f>Discounting!B58</f>
        <v>60500.000000000007</v>
      </c>
      <c r="L14" s="63">
        <f>Discounting!D58</f>
        <v>110000</v>
      </c>
      <c r="M14" s="254">
        <f t="shared" si="0"/>
        <v>49499.999999999993</v>
      </c>
      <c r="N14" s="134"/>
      <c r="O14" s="62">
        <f>VLOOKUP($I$6,Discounting!A58:E67,3,)</f>
        <v>531559.5897736859</v>
      </c>
      <c r="P14" s="252">
        <f>VLOOKUP($I$6,Discounting!A58:E67,5,)</f>
        <v>966471.9814067015</v>
      </c>
      <c r="Q14" s="258">
        <f t="shared" si="1"/>
        <v>434912.39163301559</v>
      </c>
      <c r="R14" s="362"/>
      <c r="S14" s="362"/>
    </row>
    <row r="15" spans="1:19" ht="17.25" customHeight="1" thickBot="1" x14ac:dyDescent="0.3">
      <c r="A15" s="24"/>
      <c r="B15" s="28" t="s">
        <v>8</v>
      </c>
      <c r="C15" s="239">
        <f>Initial_exam!F8</f>
        <v>162</v>
      </c>
      <c r="D15" s="130">
        <f>Initial_exam!H8*(SUM(Population!I8:I10)+Population!I7/2)</f>
        <v>2005</v>
      </c>
      <c r="E15" s="132"/>
      <c r="F15" s="916"/>
      <c r="G15" s="129"/>
      <c r="H15" s="920"/>
      <c r="I15" s="440">
        <f>Initial_exam!J8</f>
        <v>10850.76</v>
      </c>
      <c r="J15" s="443">
        <f>Initial_exam!K8</f>
        <v>38178.600000000006</v>
      </c>
      <c r="K15" s="435">
        <f>Discounting!B71</f>
        <v>10534.718446601943</v>
      </c>
      <c r="L15" s="373">
        <f>Discounting!D71</f>
        <v>37066.601941747576</v>
      </c>
      <c r="M15" s="250">
        <f t="shared" si="0"/>
        <v>26531.883495145634</v>
      </c>
      <c r="O15" s="374">
        <f>VLOOKUP($I$6,Discounting!A71:E80,3,)</f>
        <v>92559.183733173704</v>
      </c>
      <c r="P15" s="375">
        <f>VLOOKUP($I$6,Discounting!A71:E80,5,)</f>
        <v>325671.20202412969</v>
      </c>
      <c r="Q15" s="256">
        <f t="shared" si="1"/>
        <v>233112.01829095598</v>
      </c>
    </row>
    <row r="16" spans="1:19" ht="21.75" customHeight="1" thickTop="1" x14ac:dyDescent="0.35">
      <c r="B16" s="39"/>
      <c r="C16" s="372" t="s">
        <v>189</v>
      </c>
      <c r="D16" s="39"/>
      <c r="E16" s="7"/>
      <c r="F16" s="39"/>
      <c r="G16" s="7"/>
      <c r="I16" s="935" t="s">
        <v>245</v>
      </c>
      <c r="J16" s="936"/>
      <c r="K16" s="915" t="s">
        <v>234</v>
      </c>
      <c r="L16" s="915"/>
      <c r="M16" s="915"/>
      <c r="N16" s="915"/>
      <c r="O16" s="915"/>
      <c r="P16" s="915"/>
      <c r="Q16" s="915"/>
    </row>
    <row r="17" spans="1:26" ht="15.75" customHeight="1" x14ac:dyDescent="0.25">
      <c r="A17" s="17"/>
      <c r="F17" s="17"/>
      <c r="G17" s="17"/>
      <c r="H17" s="17"/>
      <c r="I17" s="17"/>
      <c r="J17" s="17"/>
    </row>
    <row r="18" spans="1:26" x14ac:dyDescent="0.25">
      <c r="B18" s="361" t="s">
        <v>187</v>
      </c>
      <c r="C18" s="17"/>
      <c r="F18" s="17"/>
      <c r="G18" s="17"/>
      <c r="H18" s="17"/>
      <c r="I18" s="17"/>
      <c r="J18" s="17"/>
      <c r="K18" s="17"/>
      <c r="L18" s="17"/>
      <c r="M18" s="17"/>
    </row>
    <row r="19" spans="1:26" x14ac:dyDescent="0.25">
      <c r="A19" s="17"/>
      <c r="D19" s="17"/>
      <c r="E19" s="17"/>
      <c r="F19" s="17"/>
      <c r="K19" s="17"/>
      <c r="L19" s="17"/>
      <c r="M19" s="17"/>
    </row>
    <row r="20" spans="1:26" x14ac:dyDescent="0.25">
      <c r="A20" s="17"/>
      <c r="D20" s="17"/>
      <c r="E20" s="17"/>
      <c r="K20" s="333"/>
      <c r="L20" s="358"/>
      <c r="O20" s="333"/>
      <c r="P20" s="333"/>
      <c r="Q20" s="17"/>
      <c r="R20" s="358"/>
    </row>
    <row r="22" spans="1:26" x14ac:dyDescent="0.25">
      <c r="G22" s="17"/>
      <c r="H22" s="17"/>
      <c r="I22" s="17"/>
      <c r="J22" s="19"/>
      <c r="Z22" s="2">
        <v>1</v>
      </c>
    </row>
    <row r="23" spans="1:26" x14ac:dyDescent="0.25">
      <c r="Z23" s="2">
        <v>2</v>
      </c>
    </row>
    <row r="24" spans="1:26" x14ac:dyDescent="0.25">
      <c r="G24" s="7"/>
      <c r="Z24" s="2">
        <v>3</v>
      </c>
    </row>
    <row r="25" spans="1:26" x14ac:dyDescent="0.25">
      <c r="H25" s="7"/>
      <c r="I25" s="7"/>
      <c r="Z25" s="2">
        <v>4</v>
      </c>
    </row>
    <row r="26" spans="1:26" x14ac:dyDescent="0.25">
      <c r="Z26" s="2">
        <v>5</v>
      </c>
    </row>
    <row r="27" spans="1:26" x14ac:dyDescent="0.25">
      <c r="Z27" s="2">
        <v>6</v>
      </c>
    </row>
    <row r="28" spans="1:26" x14ac:dyDescent="0.25">
      <c r="Z28" s="2">
        <v>7</v>
      </c>
    </row>
    <row r="29" spans="1:26" x14ac:dyDescent="0.25">
      <c r="J29" s="7"/>
      <c r="K29" s="7"/>
      <c r="L29" s="7"/>
      <c r="Z29" s="2">
        <v>8</v>
      </c>
    </row>
    <row r="30" spans="1:26" x14ac:dyDescent="0.25">
      <c r="Z30" s="2">
        <v>9</v>
      </c>
    </row>
    <row r="31" spans="1:26" x14ac:dyDescent="0.25">
      <c r="Z31" s="2">
        <v>10</v>
      </c>
    </row>
  </sheetData>
  <mergeCells count="16">
    <mergeCell ref="B8:B10"/>
    <mergeCell ref="G6:H6"/>
    <mergeCell ref="K10:L10"/>
    <mergeCell ref="O10:P10"/>
    <mergeCell ref="I16:J16"/>
    <mergeCell ref="C2:O2"/>
    <mergeCell ref="K8:M8"/>
    <mergeCell ref="O8:Q8"/>
    <mergeCell ref="K16:Q16"/>
    <mergeCell ref="F12:F15"/>
    <mergeCell ref="C8:D8"/>
    <mergeCell ref="H12:H15"/>
    <mergeCell ref="C10:D10"/>
    <mergeCell ref="F10:H10"/>
    <mergeCell ref="I8:J8"/>
    <mergeCell ref="I10:J10"/>
  </mergeCells>
  <dataValidations count="16">
    <dataValidation allowBlank="1" showInputMessage="1" showErrorMessage="1" promptTitle="Costs" prompt="Obtained from Rural Alaska Water Fluoridation Cost" sqref="F11:H11"/>
    <dataValidation allowBlank="1" showInputMessage="1" showErrorMessage="1" promptTitle="What is the discount rate?" prompt="Discount rate is the % a program is willing to exchange present value (i.e., costs) for future value. It has been widely accepted that a 3% discount rate be used for economic evaluations in health (Haddix et a., Prevention Effectiveness textbook. 2nd Ed)" sqref="K6"/>
    <dataValidation allowBlank="1" showInputMessage="1" showErrorMessage="1" promptTitle="Additional First Year Cost" prompt="It is the difference between the discounted current and ideal cost of supplying the intervention during its first year of implementation." sqref="M11"/>
    <dataValidation allowBlank="1" showInputMessage="1" showErrorMessage="1" promptTitle="Discounted 1st Year Cost" prompt="Discounted 1st year cost is the present value of supplying the intervention during its first year of implementation at current and ideal population coverage using the intervention's estimated budgeted (i.e., current day, time 0) costs and discount rate." sqref="K11"/>
    <dataValidation allowBlank="1" showInputMessage="1" showErrorMessage="1" promptTitle="Discounted Total Cost" prompt="Discounted total cost is the future cost of implementing the intervention over time (i.e. 1 -10 years) at the current and ideal population coverage using the current estimated program cost (present day, time 0) and discount rate for said timeframe.  " sqref="O11"/>
    <dataValidation allowBlank="1" showInputMessage="1" showErrorMessage="1" promptTitle="Additional Intervention Cost" prompt="It is the difference between the discounted current and ideal cost of implementing the intervention over time (1 - 10 years)." sqref="Q11"/>
    <dataValidation allowBlank="1" showInputMessage="1" showErrorMessage="1" promptTitle="Population Coverage" prompt="Population coverage is the current and ideal number of people affected or covered under the intervention type.  Values produced are the product between the intervention-specific overall population coverage(%) and the total YK child population." sqref="C10:D10"/>
    <dataValidation allowBlank="1" showInputMessage="1" showErrorMessage="1" promptTitle="What are the initial costs?" prompt="Initial costs and annual renewal costs only apply to the flouridation intervention.  Each village has an initial water piping start-up costs of $3,314 and an annual water piping renewal cost of $1,886 as reported in the Water Fluoridation Coverage report." sqref="F10:H10"/>
    <dataValidation allowBlank="1" showInputMessage="1" showErrorMessage="1" promptTitle="What are the undiscounted costs?" prompt="Undiscounted costs are the estimated budgeted costs associated with  implementing the intervention for the population covered. Costs presented may be found on the specific intervention worksheets labeled Annual Current Cost and Annual Ideal Cost." sqref="I10:J10"/>
    <dataValidation type="list" allowBlank="1" showInputMessage="1" showErrorMessage="1" sqref="I6">
      <formula1>$Z$22:$Z$31</formula1>
    </dataValidation>
    <dataValidation allowBlank="1" showInputMessage="1" showErrorMessage="1" promptTitle="What are disocunted costs?" prompt="Discounted costs is the actual present value of implementing the specific intervention to the population for the selected timeframe based upon the intervention specific estimated(i.e. budgeted) costs." sqref="O10:P10"/>
    <dataValidation allowBlank="1" showInputMessage="1" showErrorMessage="1" promptTitle="What is Add First Year Costs?" prompt="It is the difference between the discounted current and ideal cost of supplying the intervention during its first year of implementation." sqref="M10"/>
    <dataValidation allowBlank="1" showInputMessage="1" showErrorMessage="1" promptTitle="What is Add Intervnetion Costs?" prompt="It is the difference between the discounted current and ideal cost of having the intervention for the selected timeframe." sqref="Q10"/>
    <dataValidation allowBlank="1" showInputMessage="1" showErrorMessage="1" promptTitle="Estimated Costs" prompt="These costs were calculated using the entered information for each intervention.  If you would to change any of these costs, please return to the intervention worksheets where they were calculated." sqref="I11"/>
    <dataValidation allowBlank="1" showInputMessage="1" showErrorMessage="1" promptTitle="Change of Est Costs" prompt="YES.  These costs were claculated on the specific intervention worksheets based upon the user-entered inputs.  If you would like to alter the estimated costs, please refer back to the specific worksheets to alter your inputs." sqref="I16:J16"/>
    <dataValidation allowBlank="1" showInputMessage="1" showErrorMessage="1" promptTitle="What are disocunted costs?" prompt="Discounted cost is the actual present value of implementing the specific intervention to the population for the selected timeframe based upon the intervention specific estimated(i.e. budgeted) costs." sqref="K10:L10"/>
  </dataValidations>
  <hyperlinks>
    <hyperlink ref="C16" location="Villages!A1" display="Village Population Data"/>
    <hyperlink ref="K16:Q16" location="Treatment_Cost!A1" display="Select here to obtain the full list of calculations for Treatment Costs"/>
  </hyperlink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R24"/>
  <sheetViews>
    <sheetView zoomScale="90" zoomScaleNormal="90" workbookViewId="0">
      <selection activeCell="I10" sqref="I10"/>
    </sheetView>
  </sheetViews>
  <sheetFormatPr defaultColWidth="9.140625" defaultRowHeight="15" x14ac:dyDescent="0.25"/>
  <cols>
    <col min="1" max="2" width="9.140625" style="2"/>
    <col min="3" max="3" width="20.7109375" style="2" customWidth="1"/>
    <col min="4" max="4" width="14.28515625" style="2" customWidth="1"/>
    <col min="5" max="5" width="16.5703125" style="2" customWidth="1"/>
    <col min="6" max="6" width="17.140625" style="2" customWidth="1"/>
    <col min="7" max="7" width="19.85546875" style="2" customWidth="1"/>
    <col min="8" max="8" width="18.42578125" style="2" customWidth="1"/>
    <col min="9" max="9" width="18.140625" style="2" customWidth="1"/>
    <col min="10" max="10" width="17.5703125" style="2" customWidth="1"/>
    <col min="11" max="11" width="19.28515625" style="2" customWidth="1"/>
    <col min="12" max="13" width="22.28515625" style="73" customWidth="1"/>
    <col min="14" max="14" width="20.28515625" style="2" customWidth="1"/>
    <col min="15" max="15" width="15.42578125" style="2" customWidth="1"/>
    <col min="16" max="16" width="22.7109375" style="2" customWidth="1"/>
    <col min="17" max="17" width="21" style="2" customWidth="1"/>
    <col min="18" max="18" width="0.85546875" style="2" customWidth="1"/>
    <col min="19" max="16384" width="9.140625" style="2"/>
  </cols>
  <sheetData>
    <row r="1" spans="1:18" s="1" customFormat="1" ht="25.5" customHeight="1" x14ac:dyDescent="0.25">
      <c r="L1" s="72"/>
      <c r="M1" s="72"/>
    </row>
    <row r="2" spans="1:18" s="77" customFormat="1" ht="46.5" customHeight="1" x14ac:dyDescent="0.25">
      <c r="C2" s="81"/>
      <c r="D2" s="937" t="s">
        <v>200</v>
      </c>
      <c r="E2" s="937"/>
      <c r="F2" s="937"/>
      <c r="G2" s="937"/>
      <c r="H2" s="937"/>
      <c r="I2" s="937"/>
      <c r="J2" s="937"/>
      <c r="K2" s="937"/>
      <c r="L2" s="937"/>
      <c r="M2" s="152"/>
      <c r="N2" s="81"/>
      <c r="O2" s="81"/>
      <c r="P2" s="81"/>
      <c r="Q2" s="81"/>
      <c r="R2" s="81"/>
    </row>
    <row r="3" spans="1:18" ht="6" customHeight="1" thickBot="1" x14ac:dyDescent="0.3"/>
    <row r="4" spans="1:18" ht="19.5" thickBot="1" x14ac:dyDescent="0.35">
      <c r="H4" s="43" t="str">
        <f>Summary!I4</f>
        <v>Age Group</v>
      </c>
      <c r="I4" s="78" t="str">
        <f>Fluoridation!C9</f>
        <v>6 - 60 months</v>
      </c>
      <c r="N4" s="7"/>
      <c r="O4" s="7"/>
    </row>
    <row r="5" spans="1:18" ht="2.25" customHeight="1" thickBot="1" x14ac:dyDescent="0.35">
      <c r="J5" s="68"/>
      <c r="K5" s="68"/>
      <c r="L5" s="69"/>
      <c r="M5" s="69"/>
      <c r="N5" s="7"/>
      <c r="O5" s="7"/>
    </row>
    <row r="6" spans="1:18" ht="19.5" thickBot="1" x14ac:dyDescent="0.35">
      <c r="B6" s="17"/>
      <c r="G6" s="276" t="s">
        <v>16</v>
      </c>
      <c r="H6" s="154">
        <f>Summary!I6</f>
        <v>10</v>
      </c>
      <c r="I6" s="74" t="s">
        <v>157</v>
      </c>
      <c r="J6" s="177">
        <f>Summary!K6</f>
        <v>0.03</v>
      </c>
      <c r="M6" s="69"/>
      <c r="N6" s="7"/>
    </row>
    <row r="7" spans="1:18" ht="4.5" customHeight="1" x14ac:dyDescent="0.3">
      <c r="D7" s="97"/>
      <c r="E7" s="97"/>
      <c r="F7" s="97"/>
      <c r="G7" s="97"/>
      <c r="H7" s="97"/>
      <c r="I7" s="97"/>
      <c r="J7" s="69"/>
      <c r="K7" s="69"/>
      <c r="L7" s="75"/>
      <c r="M7" s="75"/>
      <c r="N7" s="70"/>
      <c r="O7" s="97"/>
      <c r="P7" s="97"/>
    </row>
    <row r="8" spans="1:18" ht="18.75" customHeight="1" x14ac:dyDescent="0.25">
      <c r="E8" s="852" t="s">
        <v>14</v>
      </c>
      <c r="F8" s="852" t="s">
        <v>169</v>
      </c>
      <c r="G8" s="852"/>
      <c r="H8" s="852"/>
      <c r="I8" s="852"/>
      <c r="J8" s="852"/>
      <c r="K8" s="938"/>
    </row>
    <row r="9" spans="1:18" ht="94.5" customHeight="1" thickBot="1" x14ac:dyDescent="0.3">
      <c r="B9" s="17"/>
      <c r="E9" s="930"/>
      <c r="F9" s="33" t="s">
        <v>147</v>
      </c>
      <c r="G9" s="218" t="s">
        <v>171</v>
      </c>
      <c r="H9" s="261" t="s">
        <v>155</v>
      </c>
      <c r="I9" s="270" t="s">
        <v>148</v>
      </c>
      <c r="J9" s="249" t="s">
        <v>149</v>
      </c>
      <c r="K9" s="283" t="s">
        <v>156</v>
      </c>
    </row>
    <row r="10" spans="1:18" ht="31.5" customHeight="1" x14ac:dyDescent="0.25">
      <c r="E10" s="143" t="str">
        <f>Summary!B11</f>
        <v>Water Fluoridation</v>
      </c>
      <c r="F10" s="213">
        <f>VLOOKUP($H$6,Discounting!$A$17:$U$27,15,)</f>
        <v>1163.4175032641897</v>
      </c>
      <c r="G10" s="219">
        <f>VLOOKUP($H$6,Discounting!$A$17:$U$27,17,)</f>
        <v>2202.8540239415606</v>
      </c>
      <c r="H10" s="262">
        <f t="shared" ref="H10:H14" si="0">G10-F10</f>
        <v>1039.4365206773709</v>
      </c>
      <c r="I10" s="271">
        <f>VLOOKUP($H$6,Discounting_Ideal!$A$17:$U$27,15,)</f>
        <v>1566.1389467017939</v>
      </c>
      <c r="J10" s="265">
        <f>VLOOKUP($H$6,Discounting_Ideal!$A$17:$U$27,17,)</f>
        <v>2965.3804168444085</v>
      </c>
      <c r="K10" s="284">
        <f t="shared" ref="K10:K14" si="1">J10-I10</f>
        <v>1399.2414701426146</v>
      </c>
      <c r="N10" s="231"/>
    </row>
    <row r="11" spans="1:18" ht="15" customHeight="1" x14ac:dyDescent="0.25">
      <c r="E11" s="208" t="str">
        <f>Summary!B12</f>
        <v>Dental Sealants</v>
      </c>
      <c r="F11" s="207">
        <f>VLOOKUP($H$6,Discounting!$A$30:$U$40,15,)</f>
        <v>341.9832853016373</v>
      </c>
      <c r="G11" s="220">
        <f>VLOOKUP($H$6,Discounting!$A$30:$U$40,17,)</f>
        <v>3522.427838606864</v>
      </c>
      <c r="H11" s="263">
        <f t="shared" si="0"/>
        <v>3180.4445533052267</v>
      </c>
      <c r="I11" s="272">
        <f>VLOOKUP($H$6,Discounting_Ideal!$A$30:$U$40,15,)</f>
        <v>375.69994723278478</v>
      </c>
      <c r="J11" s="266">
        <f>VLOOKUP($H$6,Discounting_Ideal!$A$30:$U$40,17,)</f>
        <v>3869.7094564976819</v>
      </c>
      <c r="K11" s="285">
        <f t="shared" si="1"/>
        <v>3494.0095092648971</v>
      </c>
    </row>
    <row r="12" spans="1:18" ht="15" customHeight="1" x14ac:dyDescent="0.25">
      <c r="E12" s="208" t="str">
        <f>Summary!B13</f>
        <v>Fluoride Varnish</v>
      </c>
      <c r="F12" s="206">
        <f>VLOOKUP($H$6,Discounting!$A$43:$U$53,15,)</f>
        <v>1136.6368403588783</v>
      </c>
      <c r="G12" s="221">
        <f>VLOOKUP($H$6,Discounting!$A$43:$U$53,17,)</f>
        <v>2232.5246864409701</v>
      </c>
      <c r="H12" s="263">
        <f t="shared" si="0"/>
        <v>1095.8878460820918</v>
      </c>
      <c r="I12" s="542">
        <f>VLOOKUP($H$6,Discounting_Ideal!$A$43:$U$53,15,)</f>
        <v>1515.5157871451713</v>
      </c>
      <c r="J12" s="267">
        <f>VLOOKUP($H$6,Discounting_Ideal!$A$43:$U$53,17,)</f>
        <v>2976.6995819212934</v>
      </c>
      <c r="K12" s="285">
        <f t="shared" si="1"/>
        <v>1461.1837947761221</v>
      </c>
    </row>
    <row r="13" spans="1:18" ht="28.5" customHeight="1" x14ac:dyDescent="0.25">
      <c r="E13" s="209" t="str">
        <f>Summary!B14</f>
        <v>Toothbrush/      Toothpaste</v>
      </c>
      <c r="F13" s="205">
        <f>VLOOKUP($H$6,Discounting!$A$57:$U$67,15,)</f>
        <v>1432.5366737996228</v>
      </c>
      <c r="G13" s="222">
        <f>VLOOKUP($H$6,Discounting!$A$57:$U$67,17,)</f>
        <v>2604.6121341811322</v>
      </c>
      <c r="H13" s="263">
        <f t="shared" si="0"/>
        <v>1172.0754603815094</v>
      </c>
      <c r="I13" s="273">
        <f>VLOOKUP($H$6,Discounting_Ideal!$A$56:$U$66,15,)</f>
        <v>1910.0488983994971</v>
      </c>
      <c r="J13" s="268">
        <f>VLOOKUP($H$6,Discounting_Ideal!$A$56:$U$66,17,)</f>
        <v>3472.8161789081764</v>
      </c>
      <c r="K13" s="285">
        <f t="shared" si="1"/>
        <v>1562.7672805086793</v>
      </c>
    </row>
    <row r="14" spans="1:18" ht="21.75" customHeight="1" thickBot="1" x14ac:dyDescent="0.3">
      <c r="A14" s="939" t="s">
        <v>233</v>
      </c>
      <c r="B14" s="939"/>
      <c r="C14" s="939"/>
      <c r="D14" s="939"/>
      <c r="E14" s="210" t="str">
        <f>Summary!B15</f>
        <v>Initial Exam</v>
      </c>
      <c r="F14" s="245">
        <f>VLOOKUP($H$6,Discounting!$A$70:$U$80,15,)</f>
        <v>171.66597588944163</v>
      </c>
      <c r="G14" s="223">
        <f>VLOOKUP($H$6,Discounting!$A$70:$U$80,17,)</f>
        <v>2124.631368261299</v>
      </c>
      <c r="H14" s="264">
        <f t="shared" si="0"/>
        <v>1952.9653923718574</v>
      </c>
      <c r="I14" s="274">
        <f>VLOOKUP($H$6,Discounting_Ideal!$A$69:$U$79,15,)</f>
        <v>249.69596493009692</v>
      </c>
      <c r="J14" s="269">
        <f>VLOOKUP($H$6,Discounting_Ideal!$A$69:$U$79,17,)</f>
        <v>3090.372899289162</v>
      </c>
      <c r="K14" s="286">
        <f t="shared" si="1"/>
        <v>2840.6769343590649</v>
      </c>
    </row>
    <row r="15" spans="1:18" ht="4.5" customHeight="1" thickTop="1" x14ac:dyDescent="0.25">
      <c r="A15" s="939"/>
      <c r="B15" s="939"/>
      <c r="C15" s="939"/>
      <c r="D15" s="939"/>
      <c r="E15" s="140"/>
      <c r="F15" s="140"/>
      <c r="G15" s="140"/>
      <c r="H15" s="140"/>
      <c r="I15" s="140"/>
      <c r="J15" s="140"/>
      <c r="K15" s="7"/>
      <c r="L15" s="212"/>
      <c r="M15" s="212"/>
    </row>
    <row r="16" spans="1:18" ht="18.75" x14ac:dyDescent="0.3">
      <c r="A16" s="939"/>
      <c r="B16" s="939"/>
      <c r="C16" s="939"/>
      <c r="D16" s="939"/>
      <c r="E16" s="852" t="s">
        <v>14</v>
      </c>
      <c r="F16" s="798" t="s">
        <v>170</v>
      </c>
      <c r="G16" s="798"/>
      <c r="H16" s="798"/>
      <c r="I16" s="798"/>
      <c r="J16" s="798"/>
      <c r="K16" s="914"/>
      <c r="L16" s="291"/>
      <c r="M16" s="76"/>
    </row>
    <row r="17" spans="5:16" ht="113.25" thickBot="1" x14ac:dyDescent="0.3">
      <c r="E17" s="930"/>
      <c r="F17" s="224" t="s">
        <v>158</v>
      </c>
      <c r="G17" s="226" t="s">
        <v>162</v>
      </c>
      <c r="H17" s="261" t="s">
        <v>160</v>
      </c>
      <c r="I17" s="228" t="s">
        <v>159</v>
      </c>
      <c r="J17" s="278" t="s">
        <v>161</v>
      </c>
      <c r="K17" s="255" t="s">
        <v>201</v>
      </c>
      <c r="L17" s="76"/>
      <c r="M17" s="76"/>
      <c r="N17" s="19"/>
      <c r="P17" s="7"/>
    </row>
    <row r="18" spans="5:16" ht="31.5" x14ac:dyDescent="0.25">
      <c r="E18" s="143" t="str">
        <f>Summary!B11</f>
        <v>Water Fluoridation</v>
      </c>
      <c r="F18" s="213">
        <f>VLOOKUP($H$6,Discounting!$A$17:$U$27,19,)</f>
        <v>128.8240839240265</v>
      </c>
      <c r="G18" s="227">
        <f>VLOOKUP($H$6,Discounting!$A$17:$U$27,21,)</f>
        <v>243.91987472805451</v>
      </c>
      <c r="H18" s="281">
        <f t="shared" ref="H18:H22" si="2">G18-F18</f>
        <v>115.09579080402801</v>
      </c>
      <c r="I18" s="213">
        <f>VLOOKUP($H$6,Discounting_Ideal!$A$17:$U$27,19,)</f>
        <v>173.41703605157417</v>
      </c>
      <c r="J18" s="260">
        <f>VLOOKUP($H$6,Discounting_Ideal!$A$17:$U$27,21,)</f>
        <v>328.35367751853488</v>
      </c>
      <c r="K18" s="287">
        <f t="shared" ref="K18:K22" si="3">J18-I18</f>
        <v>154.93664146696071</v>
      </c>
      <c r="L18" s="76"/>
      <c r="M18" s="76"/>
      <c r="N18" s="19"/>
      <c r="O18" s="19"/>
    </row>
    <row r="19" spans="5:16" ht="15.75" x14ac:dyDescent="0.25">
      <c r="E19" s="143" t="str">
        <f>Summary!B12</f>
        <v>Dental Sealants</v>
      </c>
      <c r="F19" s="207">
        <f>VLOOKUP($H$6,Discounting!$A$30:$U$40,19,)</f>
        <v>37.867475195023118</v>
      </c>
      <c r="G19" s="220">
        <f>VLOOKUP($H$6,Discounting!$A$30:$U$40,21,)</f>
        <v>390.03499450873801</v>
      </c>
      <c r="H19" s="263">
        <f t="shared" si="2"/>
        <v>352.16751931371488</v>
      </c>
      <c r="I19" s="207">
        <f>VLOOKUP($H$6,Discounting_Ideal!$A$30:$U$40,19,)</f>
        <v>41.600888242419757</v>
      </c>
      <c r="J19" s="279">
        <f>VLOOKUP($H$6,Discounting_Ideal!$A$30:$U$40,21,)</f>
        <v>428.4891488969235</v>
      </c>
      <c r="K19" s="288">
        <f t="shared" si="3"/>
        <v>386.88826065450371</v>
      </c>
    </row>
    <row r="20" spans="5:16" ht="20.25" customHeight="1" x14ac:dyDescent="0.25">
      <c r="E20" s="143" t="str">
        <f>Summary!B13</f>
        <v>Fluoride Varnish</v>
      </c>
      <c r="F20" s="206">
        <f>VLOOKUP($H$6,Discounting!$A$43:$U$53,19,)</f>
        <v>125.85868727495146</v>
      </c>
      <c r="G20" s="221">
        <f>VLOOKUP($H$6,Discounting!$A$43:$U$53,21,)</f>
        <v>247.20527820976358</v>
      </c>
      <c r="H20" s="277">
        <f t="shared" si="2"/>
        <v>121.34659093481211</v>
      </c>
      <c r="I20" s="206">
        <f>VLOOKUP($H$6,Discounting_Ideal!$A$43:$U$53,19,)</f>
        <v>167.81158303326862</v>
      </c>
      <c r="J20" s="280">
        <f>VLOOKUP($H$6,Discounting_Ideal!$A$43:$U$53,21,)</f>
        <v>329.60703761301806</v>
      </c>
      <c r="K20" s="288">
        <f t="shared" si="3"/>
        <v>161.79545457974945</v>
      </c>
    </row>
    <row r="21" spans="5:16" ht="31.5" x14ac:dyDescent="0.25">
      <c r="E21" s="143" t="str">
        <f>Summary!B14</f>
        <v>Toothbrush/      Toothpaste</v>
      </c>
      <c r="F21" s="205">
        <f>VLOOKUP($H$6,Discounting!$A$57:$U$67,19,)</f>
        <v>158.62338685126494</v>
      </c>
      <c r="G21" s="222">
        <f>VLOOKUP($H$6,Discounting!$A$57:$U$67,21,)</f>
        <v>288.40615791139089</v>
      </c>
      <c r="H21" s="263">
        <f t="shared" si="2"/>
        <v>129.78277106012595</v>
      </c>
      <c r="I21" s="205">
        <f>VLOOKUP($H$6,Discounting_Ideal!$A$56:$U$66,19,)</f>
        <v>211.49784913501998</v>
      </c>
      <c r="J21" s="280">
        <f>VLOOKUP($H$6,Discounting_Ideal!$A$56:$U$66,21,)</f>
        <v>384.54154388185447</v>
      </c>
      <c r="K21" s="543">
        <f t="shared" si="3"/>
        <v>173.04369474683449</v>
      </c>
    </row>
    <row r="22" spans="5:16" ht="16.5" thickBot="1" x14ac:dyDescent="0.3">
      <c r="E22" s="292" t="str">
        <f>Summary!B15</f>
        <v>Initial Exam</v>
      </c>
      <c r="F22" s="211">
        <f>VLOOKUP($H$6,Discounting!$A$70:$U$80,19,)</f>
        <v>19.00840585845949</v>
      </c>
      <c r="G22" s="223">
        <f>VLOOKUP($H$6,Discounting!$A$70:$U$80,21,)</f>
        <v>235.25835645809431</v>
      </c>
      <c r="H22" s="290">
        <f t="shared" si="2"/>
        <v>216.24995059963481</v>
      </c>
      <c r="I22" s="223">
        <f>VLOOKUP($H$6,Discounting_Ideal!$A$69:$U$79,19,)</f>
        <v>27.648590339577439</v>
      </c>
      <c r="J22" s="282">
        <f>VLOOKUP($H$6,Discounting_Ideal!$A$69:$U$79,21,)</f>
        <v>342.19397302995537</v>
      </c>
      <c r="K22" s="289">
        <f t="shared" si="3"/>
        <v>314.54538269037795</v>
      </c>
    </row>
    <row r="23" spans="5:16" ht="15.75" thickTop="1" x14ac:dyDescent="0.25">
      <c r="E23" s="140"/>
      <c r="F23" s="140"/>
      <c r="L23" s="212"/>
      <c r="M23" s="212"/>
    </row>
    <row r="24" spans="5:16" x14ac:dyDescent="0.25">
      <c r="F24" s="333"/>
      <c r="G24" s="333"/>
      <c r="L24" s="212"/>
      <c r="M24" s="212"/>
    </row>
  </sheetData>
  <mergeCells count="6">
    <mergeCell ref="E8:E9"/>
    <mergeCell ref="E16:E17"/>
    <mergeCell ref="F16:K16"/>
    <mergeCell ref="D2:L2"/>
    <mergeCell ref="F8:K8"/>
    <mergeCell ref="A14:D16"/>
  </mergeCells>
  <dataValidations count="3">
    <dataValidation type="list" allowBlank="1" showInputMessage="1" showErrorMessage="1" sqref="J7:K7">
      <formula1>$AB$3:$AB$8</formula1>
    </dataValidation>
    <dataValidation allowBlank="1" showInputMessage="1" showErrorMessage="1" promptTitle="Add Number of Caries Averted" prompt="The difference between the number of caries averted at current and ideal population coverage.  Ultimately it is the change in the number of caries averted when one moves from the current population coverage to an ideal population coverage." sqref="H10 K10"/>
    <dataValidation allowBlank="1" showInputMessage="1" showErrorMessage="1" promptTitle="Add GA Procedures Averted" prompt="The difference between the number of GA Procedures averted at current and ideal population coverage.  Ultimately it is the change in the number of GA Procedures averted when one moves from the current population coverage to an ideal population coverage." sqref="H18 K18"/>
  </dataValidations>
  <hyperlinks>
    <hyperlink ref="A14" location="'Health Outcomes'!A1" display="Select here for a full list of averted procedures"/>
  </hyperlink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B1:T2"/>
  <sheetViews>
    <sheetView tabSelected="1" topLeftCell="A20" workbookViewId="0">
      <selection activeCell="U15" sqref="U15"/>
    </sheetView>
  </sheetViews>
  <sheetFormatPr defaultRowHeight="15" x14ac:dyDescent="0.25"/>
  <cols>
    <col min="1" max="16384" width="9.140625" style="2"/>
  </cols>
  <sheetData>
    <row r="1" spans="2:20" s="1" customFormat="1" ht="25.5" customHeight="1" x14ac:dyDescent="0.25">
      <c r="G1" s="72"/>
      <c r="H1" s="72"/>
      <c r="I1" s="72"/>
    </row>
    <row r="2" spans="2:20" s="77" customFormat="1" ht="46.5" customHeight="1" x14ac:dyDescent="0.25">
      <c r="B2" s="81"/>
      <c r="C2" s="81"/>
      <c r="D2" s="81"/>
      <c r="E2" s="937" t="s">
        <v>197</v>
      </c>
      <c r="F2" s="937"/>
      <c r="G2" s="937"/>
      <c r="H2" s="937"/>
      <c r="I2" s="937"/>
      <c r="J2" s="937"/>
      <c r="K2" s="937"/>
      <c r="L2" s="937"/>
      <c r="M2" s="937"/>
      <c r="N2" s="937"/>
      <c r="O2" s="937"/>
      <c r="P2" s="937"/>
      <c r="Q2" s="937"/>
      <c r="R2" s="937"/>
      <c r="S2" s="937"/>
      <c r="T2" s="937"/>
    </row>
  </sheetData>
  <mergeCells count="1">
    <mergeCell ref="E2:T2"/>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AB78"/>
  <sheetViews>
    <sheetView topLeftCell="C26" zoomScaleNormal="100" workbookViewId="0">
      <selection activeCell="K8" sqref="K8"/>
    </sheetView>
  </sheetViews>
  <sheetFormatPr defaultRowHeight="15" x14ac:dyDescent="0.25"/>
  <cols>
    <col min="1" max="1" width="9.140625" style="381"/>
    <col min="2" max="2" width="15.5703125" style="381" customWidth="1"/>
    <col min="3" max="3" width="13.28515625" style="381" customWidth="1"/>
    <col min="4" max="4" width="11.7109375" style="381" customWidth="1"/>
    <col min="5" max="5" width="12.5703125" style="381" customWidth="1"/>
    <col min="6" max="6" width="12.28515625" style="381" customWidth="1"/>
    <col min="7" max="7" width="9.140625" style="381"/>
    <col min="8" max="8" width="17.5703125" style="381" customWidth="1"/>
    <col min="9" max="10" width="14.85546875" style="381" customWidth="1"/>
    <col min="11" max="12" width="12.7109375" style="381" customWidth="1"/>
    <col min="13" max="14" width="13.7109375" style="381" customWidth="1"/>
    <col min="15" max="15" width="13.5703125" style="381" customWidth="1"/>
    <col min="16" max="16" width="12.42578125" style="381" customWidth="1"/>
    <col min="17" max="17" width="15.85546875" style="381" customWidth="1"/>
    <col min="18" max="18" width="14.85546875" style="381" customWidth="1"/>
    <col min="19" max="19" width="10.5703125" style="381" customWidth="1"/>
    <col min="20" max="20" width="6.42578125" style="381" customWidth="1"/>
    <col min="21" max="21" width="13.7109375" style="381" customWidth="1"/>
    <col min="22" max="22" width="14.28515625" style="381" customWidth="1"/>
    <col min="23" max="23" width="13" style="381" customWidth="1"/>
    <col min="24" max="24" width="10.140625" style="381" bestFit="1" customWidth="1"/>
    <col min="25" max="16384" width="9.140625" style="381"/>
  </cols>
  <sheetData>
    <row r="1" spans="1:28" s="400" customFormat="1" ht="15" customHeight="1" x14ac:dyDescent="0.4">
      <c r="C1" s="424"/>
      <c r="D1" s="940" t="s">
        <v>220</v>
      </c>
      <c r="E1" s="940"/>
      <c r="F1" s="940"/>
      <c r="G1" s="940"/>
      <c r="H1" s="940"/>
      <c r="I1" s="940"/>
      <c r="J1" s="940"/>
      <c r="K1" s="940"/>
      <c r="L1" s="940"/>
      <c r="M1" s="940"/>
      <c r="N1" s="940"/>
      <c r="O1" s="940"/>
      <c r="P1" s="940"/>
      <c r="Q1" s="940"/>
      <c r="R1" s="424"/>
      <c r="S1" s="424"/>
      <c r="T1" s="424"/>
      <c r="U1" s="424"/>
      <c r="V1" s="404"/>
      <c r="W1" s="404"/>
      <c r="X1" s="404"/>
      <c r="Y1" s="404"/>
      <c r="Z1" s="404"/>
      <c r="AA1" s="404"/>
      <c r="AB1" s="404"/>
    </row>
    <row r="2" spans="1:28" s="403" customFormat="1" ht="15" customHeight="1" x14ac:dyDescent="0.4">
      <c r="B2" s="424"/>
      <c r="C2" s="424"/>
      <c r="D2" s="940"/>
      <c r="E2" s="940"/>
      <c r="F2" s="940"/>
      <c r="G2" s="940"/>
      <c r="H2" s="940"/>
      <c r="I2" s="940"/>
      <c r="J2" s="940"/>
      <c r="K2" s="940"/>
      <c r="L2" s="940"/>
      <c r="M2" s="940"/>
      <c r="N2" s="940"/>
      <c r="O2" s="940"/>
      <c r="P2" s="940"/>
      <c r="Q2" s="940"/>
      <c r="R2" s="424"/>
      <c r="S2" s="424"/>
      <c r="T2" s="424"/>
      <c r="U2" s="424"/>
      <c r="V2" s="404"/>
      <c r="W2" s="404"/>
      <c r="X2" s="404"/>
      <c r="Y2" s="404"/>
      <c r="Z2" s="404"/>
      <c r="AA2" s="404"/>
      <c r="AB2" s="404"/>
    </row>
    <row r="3" spans="1:28" s="403" customFormat="1" ht="15" customHeight="1" x14ac:dyDescent="0.4">
      <c r="B3" s="424"/>
      <c r="C3" s="424"/>
      <c r="D3" s="940"/>
      <c r="E3" s="940"/>
      <c r="F3" s="940"/>
      <c r="G3" s="940"/>
      <c r="H3" s="940"/>
      <c r="I3" s="940"/>
      <c r="J3" s="940"/>
      <c r="K3" s="940"/>
      <c r="L3" s="940"/>
      <c r="M3" s="940"/>
      <c r="N3" s="940"/>
      <c r="O3" s="940"/>
      <c r="P3" s="940"/>
      <c r="Q3" s="940"/>
      <c r="R3" s="424"/>
      <c r="S3" s="424"/>
      <c r="T3" s="424"/>
      <c r="U3" s="424"/>
    </row>
    <row r="5" spans="1:28" s="401" customFormat="1" ht="17.25" customHeight="1" x14ac:dyDescent="0.25">
      <c r="H5" s="942" t="s">
        <v>349</v>
      </c>
      <c r="I5" s="942"/>
      <c r="J5" s="942"/>
      <c r="K5" s="942"/>
      <c r="L5" s="942"/>
      <c r="M5" s="942"/>
      <c r="N5" s="942"/>
      <c r="O5" s="942"/>
      <c r="P5" s="419"/>
      <c r="Q5" s="419"/>
      <c r="R5" s="419"/>
    </row>
    <row r="6" spans="1:28" ht="28.5" customHeight="1" x14ac:dyDescent="0.25">
      <c r="C6" s="547" t="s">
        <v>373</v>
      </c>
      <c r="D6" s="683">
        <f>Caries!E14</f>
        <v>7.3009708737864082E-2</v>
      </c>
      <c r="E6" s="544" t="s">
        <v>375</v>
      </c>
      <c r="F6" s="545">
        <f>FMDR!F15</f>
        <v>6.2524271844660195E-2</v>
      </c>
      <c r="H6" s="402"/>
      <c r="I6" s="943" t="s">
        <v>219</v>
      </c>
      <c r="J6" s="943"/>
      <c r="K6" s="944" t="s">
        <v>216</v>
      </c>
      <c r="L6" s="944"/>
      <c r="M6" s="945" t="s">
        <v>217</v>
      </c>
      <c r="N6" s="945"/>
      <c r="O6" s="944" t="s">
        <v>218</v>
      </c>
      <c r="P6" s="944"/>
      <c r="Q6" s="418"/>
      <c r="R6" s="418"/>
      <c r="S6" s="947" t="s">
        <v>459</v>
      </c>
    </row>
    <row r="7" spans="1:28" ht="30.75" thickBot="1" x14ac:dyDescent="0.3">
      <c r="H7" s="391" t="s">
        <v>210</v>
      </c>
      <c r="I7" s="392" t="s">
        <v>214</v>
      </c>
      <c r="J7" s="392" t="s">
        <v>215</v>
      </c>
      <c r="K7" s="392" t="s">
        <v>214</v>
      </c>
      <c r="L7" s="392" t="s">
        <v>215</v>
      </c>
      <c r="M7" s="392" t="s">
        <v>214</v>
      </c>
      <c r="N7" s="392" t="s">
        <v>215</v>
      </c>
      <c r="O7" s="392" t="s">
        <v>214</v>
      </c>
      <c r="P7" s="392" t="s">
        <v>215</v>
      </c>
      <c r="R7" s="544" t="s">
        <v>460</v>
      </c>
      <c r="S7" s="947"/>
      <c r="T7" s="381" t="s">
        <v>453</v>
      </c>
      <c r="U7" s="381" t="s">
        <v>454</v>
      </c>
      <c r="V7" s="381" t="s">
        <v>455</v>
      </c>
      <c r="W7" s="645" t="s">
        <v>461</v>
      </c>
      <c r="X7" s="381" t="s">
        <v>456</v>
      </c>
      <c r="Y7" s="381" t="s">
        <v>457</v>
      </c>
    </row>
    <row r="8" spans="1:28" ht="31.5" thickTop="1" thickBot="1" x14ac:dyDescent="0.3">
      <c r="C8" s="411" t="s">
        <v>15</v>
      </c>
      <c r="D8" s="412">
        <f>Summary!K6</f>
        <v>0.03</v>
      </c>
      <c r="H8" s="405" t="str">
        <f>Prevention!E10</f>
        <v>Water Fluoridation</v>
      </c>
      <c r="I8" s="423">
        <f>(Summary!C11*$D$6*'Health Outcomes'!$D$11)*Effectiveness!F7</f>
        <v>136.38802330097087</v>
      </c>
      <c r="J8" s="421">
        <f>Summary!C11*$D$6*'Health Outcomes'!$D$11*Effectiveness!G7</f>
        <v>183.59926213592232</v>
      </c>
      <c r="K8" s="422">
        <f>Summary!D11*$D$6*'Health Outcomes'!$D$11*Effectiveness!F7</f>
        <v>258.24169320388353</v>
      </c>
      <c r="L8" s="422">
        <f>Summary!D11*$D$6*$D$11*Effectiveness!G7</f>
        <v>347.63304854368931</v>
      </c>
      <c r="M8" s="421">
        <f>Summary!C11*$F$6*Effectiveness!F7</f>
        <v>15.102112621359224</v>
      </c>
      <c r="N8" s="421">
        <f>Summary!C11*$F$6*Effectiveness!G7</f>
        <v>20.329766990291262</v>
      </c>
      <c r="O8" s="421">
        <f>Summary!D11*$F$6*Effectiveness!F7</f>
        <v>28.594850485436897</v>
      </c>
      <c r="P8" s="421">
        <f>Summary!D11*$F$6*Effectiveness!G7</f>
        <v>38.493067961165046</v>
      </c>
      <c r="R8" s="423">
        <f>S8*$D$11</f>
        <v>524.56932038834952</v>
      </c>
      <c r="S8" s="381">
        <f>Summary!C11*'Health Outcomes'!$D$6</f>
        <v>67.826019417475734</v>
      </c>
      <c r="T8" s="684">
        <f>Effectiveness!F7</f>
        <v>0.26</v>
      </c>
      <c r="U8" s="381">
        <f>R8*T8</f>
        <v>136.38802330097087</v>
      </c>
      <c r="V8" s="393">
        <f>Summary!I11</f>
        <v>18125</v>
      </c>
      <c r="W8" s="394">
        <f>V8/S8</f>
        <v>267.22783019948236</v>
      </c>
      <c r="X8" s="646">
        <f>Caries!$N$7*S8*T8</f>
        <v>25879.006211413911</v>
      </c>
      <c r="Y8" s="646">
        <f>X8/S8</f>
        <v>381.54983048800364</v>
      </c>
      <c r="Z8" s="646"/>
    </row>
    <row r="9" spans="1:28" ht="16.5" thickTop="1" thickBot="1" x14ac:dyDescent="0.3">
      <c r="H9" s="409" t="str">
        <f>Prevention!E11</f>
        <v>Dental Sealants</v>
      </c>
      <c r="I9" s="423">
        <f>(Summary!C12*$D$6*'Health Outcomes'!$D$11)*(Effectiveness!F8*0.4)</f>
        <v>40.090873786407769</v>
      </c>
      <c r="J9" s="421">
        <f>Summary!C12*$D$6*'Health Outcomes'!$D$11*(Effectiveness!G8*0.4)</f>
        <v>44.043495145631084</v>
      </c>
      <c r="K9" s="422">
        <f>Summary!D12*$D$6*'Health Outcomes'!$D$11*(Effectiveness!F8*0.4)</f>
        <v>412.93599999999998</v>
      </c>
      <c r="L9" s="422">
        <f>Summary!D12*$D$6*$D$11*(Effectiveness!G8*0.4)</f>
        <v>453.64800000000008</v>
      </c>
      <c r="M9" s="421">
        <f>Summary!C12*$F$6*(Effectiveness!F8*0.4)</f>
        <v>4.4392233009708733</v>
      </c>
      <c r="N9" s="421">
        <f>Summary!C12*$F$6*(Effectiveness!G8*0.4)</f>
        <v>4.8768932038834967</v>
      </c>
      <c r="O9" s="421">
        <f>Summary!D12*$F$6*(Effectiveness!F8*0.4)</f>
        <v>45.723999999999997</v>
      </c>
      <c r="P9" s="421">
        <f>Summary!D12*$F$6*(Effectiveness!G8*0.4)</f>
        <v>50.232000000000006</v>
      </c>
      <c r="R9" s="423">
        <f t="shared" ref="R9:R12" si="0">S9*$D$11</f>
        <v>141.16504854368935</v>
      </c>
      <c r="S9" s="381">
        <f>Summary!C12*'Health Outcomes'!$D$6</f>
        <v>18.252427184466022</v>
      </c>
      <c r="T9" s="684">
        <f>Effectiveness!F8*0.4</f>
        <v>0.28399999999999997</v>
      </c>
      <c r="U9" s="381">
        <f t="shared" ref="U9:U12" si="1">R9*T9</f>
        <v>40.090873786407769</v>
      </c>
      <c r="V9" s="393">
        <f>Treatment_Cost!H8</f>
        <v>12420</v>
      </c>
      <c r="W9" s="394">
        <f t="shared" ref="W9:W12" si="2">V9/S9</f>
        <v>680.45744680851055</v>
      </c>
      <c r="X9" s="646">
        <f>Caries!$N$7*S9*T9</f>
        <v>7607.0606980640368</v>
      </c>
      <c r="Y9" s="646">
        <f t="shared" ref="Y9:Y12" si="3">X9/S9</f>
        <v>416.76981484074241</v>
      </c>
    </row>
    <row r="10" spans="1:28" ht="31.5" thickTop="1" thickBot="1" x14ac:dyDescent="0.3">
      <c r="C10" s="411" t="s">
        <v>212</v>
      </c>
      <c r="D10" s="946" t="s">
        <v>60</v>
      </c>
      <c r="E10" s="946"/>
      <c r="H10" s="409" t="str">
        <f>Prevention!E12</f>
        <v>Fluoride Varnish</v>
      </c>
      <c r="I10" s="423">
        <f>(Summary!C13*$D$6*'Health Outcomes'!$D$11)*Effectiveness!F9</f>
        <v>133.24851262135923</v>
      </c>
      <c r="J10" s="421">
        <f>Summary!C13*$D$6*'Health Outcomes'!$D$11*Effectiveness!G9</f>
        <v>177.66468349514565</v>
      </c>
      <c r="K10" s="422">
        <f>Summary!D13*$D$6*'Health Outcomes'!$D$11*Effectiveness!F9</f>
        <v>261.71999999999997</v>
      </c>
      <c r="L10" s="422">
        <f>Summary!D13*$D$6*$D$11*Effectiveness!G9</f>
        <v>348.96</v>
      </c>
      <c r="M10" s="421">
        <f>Summary!C13*$F$6*Effectiveness!F9</f>
        <v>14.754477669902911</v>
      </c>
      <c r="N10" s="421">
        <f>Summary!C13*$F$6*Effectiveness!G9</f>
        <v>19.672636893203883</v>
      </c>
      <c r="O10" s="421">
        <f>Summary!D13*$F$6*Effectiveness!F9</f>
        <v>28.98</v>
      </c>
      <c r="P10" s="421">
        <f>Summary!D13*$F$6*Effectiveness!G9</f>
        <v>38.64</v>
      </c>
      <c r="R10" s="423">
        <f t="shared" si="0"/>
        <v>740.2695145631069</v>
      </c>
      <c r="S10" s="381">
        <f>Summary!C13*'Health Outcomes'!$D$6</f>
        <v>95.715728155339818</v>
      </c>
      <c r="T10" s="684">
        <f>Effectiveness!F9</f>
        <v>0.18</v>
      </c>
      <c r="U10" s="381">
        <f t="shared" si="1"/>
        <v>133.24851262135923</v>
      </c>
      <c r="V10" s="393">
        <f>Treatment_Cost!H9</f>
        <v>62923.154999999999</v>
      </c>
      <c r="W10" s="394">
        <f t="shared" si="2"/>
        <v>657.39618987049016</v>
      </c>
      <c r="X10" s="646">
        <f>Caries!$N$7*S10*T10</f>
        <v>25283.298359565513</v>
      </c>
      <c r="Y10" s="646">
        <f t="shared" si="3"/>
        <v>264.14988264554097</v>
      </c>
    </row>
    <row r="11" spans="1:28" ht="46.5" thickTop="1" thickBot="1" x14ac:dyDescent="0.3">
      <c r="C11" s="411" t="s">
        <v>348</v>
      </c>
      <c r="D11" s="682">
        <f>Caries!I13</f>
        <v>7.7340425531914896</v>
      </c>
      <c r="F11" s="420"/>
      <c r="H11" s="405" t="str">
        <f>Prevention!E13</f>
        <v>Toothbrush/      Toothpaste</v>
      </c>
      <c r="I11" s="423">
        <f>(Summary!C14*$D$6*'Health Outcomes'!$D$11)*Effectiveness!F10</f>
        <v>167.93700000000004</v>
      </c>
      <c r="J11" s="421">
        <f>Summary!C14*$D$6*'Health Outcomes'!$D$11*Effectiveness!G10</f>
        <v>223.91600000000005</v>
      </c>
      <c r="K11" s="422">
        <f>Summary!D14*$D$6*'Health Outcomes'!$D$11*Effectiveness!F10</f>
        <v>305.33999999999997</v>
      </c>
      <c r="L11" s="422">
        <f>Summary!D14*$D$6*$D$11*Effectiveness!G10</f>
        <v>407.12000000000006</v>
      </c>
      <c r="M11" s="421">
        <f>Summary!C14*$F$6*Effectiveness!F10</f>
        <v>18.595500000000001</v>
      </c>
      <c r="N11" s="421">
        <f>Summary!C14*$F$6*Effectiveness!G10</f>
        <v>24.794000000000004</v>
      </c>
      <c r="O11" s="421">
        <f>Summary!D14*$F$6*Effectiveness!F10</f>
        <v>33.81</v>
      </c>
      <c r="P11" s="421">
        <f>Summary!D14*$F$6*Effectiveness!G10</f>
        <v>45.080000000000005</v>
      </c>
      <c r="R11" s="423">
        <f t="shared" si="0"/>
        <v>799.70000000000016</v>
      </c>
      <c r="S11" s="381">
        <f>Summary!C14*'Health Outcomes'!$D$6</f>
        <v>103.40000000000002</v>
      </c>
      <c r="T11" s="684">
        <f>Effectiveness!F10</f>
        <v>0.21</v>
      </c>
      <c r="U11" s="381">
        <f t="shared" si="1"/>
        <v>167.93700000000004</v>
      </c>
      <c r="V11" s="393">
        <f>Treatment_Cost!H10</f>
        <v>62315.000000000007</v>
      </c>
      <c r="W11" s="394">
        <f t="shared" si="2"/>
        <v>602.65957446808511</v>
      </c>
      <c r="X11" s="646">
        <f>Caries!$N$7*S11*T11</f>
        <v>31865.280843140434</v>
      </c>
      <c r="Y11" s="646">
        <f t="shared" si="3"/>
        <v>308.17486308646448</v>
      </c>
    </row>
    <row r="12" spans="1:28" ht="16.5" thickTop="1" thickBot="1" x14ac:dyDescent="0.3">
      <c r="H12" s="409" t="str">
        <f>Prevention!E14</f>
        <v>Initial Exam</v>
      </c>
      <c r="I12" s="423">
        <f>(Summary!C15*$D$6*'Health Outcomes'!$D$11)*Effectiveness!F11</f>
        <v>20.124489320388353</v>
      </c>
      <c r="J12" s="421">
        <f>Summary!C15*$D$6*'Health Outcomes'!$D$11*Effectiveness!G11</f>
        <v>29.271984466019422</v>
      </c>
      <c r="K12" s="422">
        <f>Summary!D15*$D$6*'Health Outcomes'!$D$11*Effectiveness!F11</f>
        <v>249.07161165048544</v>
      </c>
      <c r="L12" s="422">
        <f>Summary!D15*$D$6*$D$11*Effectiveness!G11</f>
        <v>362.2859805825243</v>
      </c>
      <c r="M12" s="421">
        <f>Summary!C15*$F$6*Effectiveness!F11</f>
        <v>2.2283650485436897</v>
      </c>
      <c r="N12" s="421">
        <f>Summary!C15*$F$6*Effectiveness!G11</f>
        <v>3.2412582524271847</v>
      </c>
      <c r="O12" s="421">
        <f>Summary!D15*$F$6*Effectiveness!F11</f>
        <v>27.579456310679614</v>
      </c>
      <c r="P12" s="421">
        <f>Summary!D15*$F$6*Effectiveness!G11</f>
        <v>40.115572815533987</v>
      </c>
      <c r="R12" s="423">
        <f t="shared" si="0"/>
        <v>91.474951456310691</v>
      </c>
      <c r="S12" s="381">
        <f>Summary!C15*'Health Outcomes'!$D$6</f>
        <v>11.827572815533982</v>
      </c>
      <c r="T12" s="684">
        <f>Effectiveness!F11</f>
        <v>0.22</v>
      </c>
      <c r="U12" s="381">
        <f t="shared" si="1"/>
        <v>20.124489320388353</v>
      </c>
      <c r="V12" s="393">
        <f>Treatment_Cost!H11</f>
        <v>10850.76</v>
      </c>
      <c r="W12" s="394">
        <f t="shared" si="2"/>
        <v>917.41223404255311</v>
      </c>
      <c r="X12" s="646">
        <f>Caries!$N$7*S12*T12</f>
        <v>3818.530187028201</v>
      </c>
      <c r="Y12" s="646">
        <f t="shared" si="3"/>
        <v>322.8498565667723</v>
      </c>
    </row>
    <row r="13" spans="1:28" ht="15.75" thickTop="1" x14ac:dyDescent="0.25">
      <c r="C13" s="947" t="s">
        <v>355</v>
      </c>
      <c r="D13" s="948">
        <v>1</v>
      </c>
      <c r="H13" s="417" t="s">
        <v>221</v>
      </c>
      <c r="I13" s="393"/>
      <c r="J13" s="393"/>
      <c r="K13" s="393"/>
      <c r="L13" s="393"/>
      <c r="M13" s="394"/>
      <c r="N13" s="394"/>
      <c r="O13" s="394"/>
    </row>
    <row r="14" spans="1:28" x14ac:dyDescent="0.25">
      <c r="C14" s="947"/>
      <c r="D14" s="948"/>
      <c r="E14" s="394"/>
      <c r="F14" s="394"/>
    </row>
    <row r="15" spans="1:28" s="401" customFormat="1" ht="18.75" x14ac:dyDescent="0.3">
      <c r="B15" s="941" t="s">
        <v>223</v>
      </c>
      <c r="C15" s="941"/>
      <c r="D15" s="941"/>
      <c r="E15" s="941"/>
      <c r="F15" s="941"/>
      <c r="G15" s="941"/>
      <c r="H15" s="941"/>
      <c r="I15" s="941"/>
      <c r="J15" s="426"/>
      <c r="K15" s="941" t="s">
        <v>222</v>
      </c>
      <c r="L15" s="941"/>
      <c r="M15" s="941"/>
      <c r="N15" s="941"/>
      <c r="O15" s="941"/>
      <c r="P15" s="941"/>
      <c r="Q15" s="941"/>
      <c r="R15" s="941"/>
      <c r="S15" s="419"/>
      <c r="T15" s="419"/>
      <c r="U15" s="419"/>
    </row>
    <row r="16" spans="1:28" ht="15" customHeight="1" x14ac:dyDescent="0.25">
      <c r="A16" s="382" t="s">
        <v>224</v>
      </c>
      <c r="B16" s="382" t="s">
        <v>90</v>
      </c>
      <c r="C16" s="382" t="s">
        <v>89</v>
      </c>
      <c r="D16" s="382" t="s">
        <v>91</v>
      </c>
      <c r="E16" s="382" t="s">
        <v>89</v>
      </c>
      <c r="F16" s="382" t="s">
        <v>92</v>
      </c>
      <c r="G16" s="382" t="s">
        <v>89</v>
      </c>
      <c r="H16" s="382" t="s">
        <v>66</v>
      </c>
      <c r="I16" s="382" t="s">
        <v>89</v>
      </c>
      <c r="K16" s="381" t="s">
        <v>90</v>
      </c>
      <c r="L16" s="381" t="s">
        <v>89</v>
      </c>
      <c r="M16" s="381" t="s">
        <v>91</v>
      </c>
      <c r="N16" s="381" t="s">
        <v>89</v>
      </c>
      <c r="O16" s="381" t="s">
        <v>92</v>
      </c>
      <c r="P16" s="381" t="s">
        <v>89</v>
      </c>
      <c r="Q16" s="381" t="s">
        <v>66</v>
      </c>
      <c r="R16" s="381" t="s">
        <v>89</v>
      </c>
    </row>
    <row r="17" spans="1:21" ht="15" customHeight="1" x14ac:dyDescent="0.25">
      <c r="A17" s="382">
        <v>1</v>
      </c>
      <c r="B17" s="425">
        <f>$I$8/(1+$D$8)^A17</f>
        <v>132.41555660288435</v>
      </c>
      <c r="C17" s="425">
        <f>B17</f>
        <v>132.41555660288435</v>
      </c>
      <c r="D17" s="425">
        <f>$K$8/(1+$D$8)^A17</f>
        <v>250.72009048920731</v>
      </c>
      <c r="E17" s="427">
        <f>D17</f>
        <v>250.72009048920731</v>
      </c>
      <c r="F17" s="425">
        <f>$M$8/(1+$D$8)^A17</f>
        <v>14.662245263455556</v>
      </c>
      <c r="G17" s="425">
        <f>F17</f>
        <v>14.662245263455556</v>
      </c>
      <c r="H17" s="425">
        <f>$O$8/(1+$D$8)^A17</f>
        <v>27.761990762560092</v>
      </c>
      <c r="I17" s="425">
        <f>H17</f>
        <v>27.761990762560092</v>
      </c>
      <c r="J17" s="397"/>
      <c r="K17" s="425">
        <f>$J$8/(1+$D$8)^A17</f>
        <v>178.25171081157507</v>
      </c>
      <c r="L17" s="425">
        <f>K17</f>
        <v>178.25171081157507</v>
      </c>
      <c r="M17" s="425">
        <f>$L$8/(1+$D$8)^A17</f>
        <v>337.50781412008672</v>
      </c>
      <c r="N17" s="427">
        <f>M17</f>
        <v>337.50781412008672</v>
      </c>
      <c r="O17" s="425">
        <f>$N$8/(1+$D$8)^A17</f>
        <v>19.737637854651709</v>
      </c>
      <c r="P17" s="425">
        <f>O17</f>
        <v>19.737637854651709</v>
      </c>
      <c r="Q17" s="425">
        <f>$P$8/(1+$D$8)^A17</f>
        <v>37.37191064190781</v>
      </c>
      <c r="R17" s="425">
        <f>Q17</f>
        <v>37.37191064190781</v>
      </c>
      <c r="S17" s="395"/>
      <c r="T17" s="396"/>
      <c r="U17" s="395"/>
    </row>
    <row r="18" spans="1:21" ht="15" customHeight="1" x14ac:dyDescent="0.25">
      <c r="A18" s="382">
        <v>2</v>
      </c>
      <c r="B18" s="425">
        <f t="shared" ref="B18:B26" si="4">$I$8/(1+$D$8)^A18</f>
        <v>128.55879281833433</v>
      </c>
      <c r="C18" s="425">
        <f>C17+B18</f>
        <v>260.97434942121868</v>
      </c>
      <c r="D18" s="425">
        <f t="shared" ref="D18:D26" si="5">$K$8/(1+$D$8)^A18</f>
        <v>243.41756358175468</v>
      </c>
      <c r="E18" s="427">
        <f>E17+D18</f>
        <v>494.13765407096196</v>
      </c>
      <c r="F18" s="425">
        <f t="shared" ref="F18:F26" si="6">$M$8/(1+$D$8)^A18</f>
        <v>14.235189576170445</v>
      </c>
      <c r="G18" s="425">
        <f>G17+F18</f>
        <v>28.897434839626001</v>
      </c>
      <c r="H18" s="425">
        <f t="shared" ref="H18:H26" si="7">$O$8/(1+$D$8)^A18</f>
        <v>26.953389089864171</v>
      </c>
      <c r="I18" s="425">
        <f>I17+H18</f>
        <v>54.715379852424263</v>
      </c>
      <c r="J18" s="397"/>
      <c r="K18" s="425">
        <f t="shared" ref="K18:K26" si="8">$J$8/(1+$D$8)^A18</f>
        <v>173.0599134092962</v>
      </c>
      <c r="L18" s="425">
        <f>L17+K18</f>
        <v>351.31162422087129</v>
      </c>
      <c r="M18" s="425">
        <f t="shared" ref="M18:M26" si="9">$L$8/(1+$D$8)^A18</f>
        <v>327.6774894369774</v>
      </c>
      <c r="N18" s="427">
        <f>N17+M18</f>
        <v>665.18530355706412</v>
      </c>
      <c r="O18" s="425">
        <f t="shared" ref="O18:O26" si="10">$N$8/(1+$D$8)^A18</f>
        <v>19.162755198690981</v>
      </c>
      <c r="P18" s="425">
        <f>P17+O18</f>
        <v>38.90039305334269</v>
      </c>
      <c r="Q18" s="425">
        <f t="shared" ref="Q18:Q26" si="11">$P$8/(1+$D$8)^A18</f>
        <v>36.283408390201764</v>
      </c>
      <c r="R18" s="425">
        <f>R17+Q18</f>
        <v>73.655319032109574</v>
      </c>
      <c r="S18" s="395"/>
      <c r="T18" s="396"/>
      <c r="U18" s="395"/>
    </row>
    <row r="19" spans="1:21" ht="15" customHeight="1" x14ac:dyDescent="0.25">
      <c r="A19" s="382">
        <v>3</v>
      </c>
      <c r="B19" s="425">
        <f t="shared" si="4"/>
        <v>124.81436195954788</v>
      </c>
      <c r="C19" s="425">
        <f t="shared" ref="C19:C26" si="12">C18+B19</f>
        <v>385.78871138076659</v>
      </c>
      <c r="D19" s="425">
        <f t="shared" si="5"/>
        <v>236.32773163277153</v>
      </c>
      <c r="E19" s="427">
        <f t="shared" ref="E19:E26" si="13">E18+D19</f>
        <v>730.46538570373355</v>
      </c>
      <c r="F19" s="425">
        <f t="shared" si="6"/>
        <v>13.820572404048974</v>
      </c>
      <c r="G19" s="427">
        <f t="shared" ref="G19:G26" si="14">G18+F19</f>
        <v>42.718007243674975</v>
      </c>
      <c r="H19" s="425">
        <f t="shared" si="7"/>
        <v>26.168338922198224</v>
      </c>
      <c r="I19" s="428">
        <f t="shared" ref="I19:I26" si="15">I18+H19</f>
        <v>80.88371877462248</v>
      </c>
      <c r="J19" s="397"/>
      <c r="K19" s="425">
        <f t="shared" si="8"/>
        <v>168.01933340708368</v>
      </c>
      <c r="L19" s="425">
        <f t="shared" ref="L19:L26" si="16">L18+K19</f>
        <v>519.33095762795494</v>
      </c>
      <c r="M19" s="425">
        <f t="shared" si="9"/>
        <v>318.1334848902693</v>
      </c>
      <c r="N19" s="427">
        <f t="shared" ref="N19:N26" si="17">N18+M19</f>
        <v>983.31878844733342</v>
      </c>
      <c r="O19" s="425">
        <f t="shared" si="10"/>
        <v>18.604616697758235</v>
      </c>
      <c r="P19" s="427">
        <f t="shared" ref="P19:P26" si="18">P18+O19</f>
        <v>57.505009751100928</v>
      </c>
      <c r="Q19" s="425">
        <f t="shared" si="11"/>
        <v>35.226610087574521</v>
      </c>
      <c r="R19" s="428">
        <f t="shared" ref="R19:R26" si="19">R18+Q19</f>
        <v>108.88192911968409</v>
      </c>
      <c r="S19" s="395"/>
      <c r="T19" s="396"/>
      <c r="U19" s="395"/>
    </row>
    <row r="20" spans="1:21" x14ac:dyDescent="0.25">
      <c r="A20" s="382">
        <v>4</v>
      </c>
      <c r="B20" s="425">
        <f t="shared" si="4"/>
        <v>121.17899219373581</v>
      </c>
      <c r="C20" s="425">
        <f t="shared" si="12"/>
        <v>506.96770357450237</v>
      </c>
      <c r="D20" s="425">
        <f t="shared" si="5"/>
        <v>229.44439964346751</v>
      </c>
      <c r="E20" s="427">
        <f t="shared" si="13"/>
        <v>959.90978534720102</v>
      </c>
      <c r="F20" s="425">
        <f t="shared" si="6"/>
        <v>13.418031460241723</v>
      </c>
      <c r="G20" s="427">
        <f t="shared" si="14"/>
        <v>56.136038703916697</v>
      </c>
      <c r="H20" s="425">
        <f t="shared" si="7"/>
        <v>25.406154293396334</v>
      </c>
      <c r="I20" s="428">
        <f t="shared" si="15"/>
        <v>106.28987306801881</v>
      </c>
      <c r="J20" s="397"/>
      <c r="K20" s="425">
        <f t="shared" si="8"/>
        <v>163.12556641464434</v>
      </c>
      <c r="L20" s="425">
        <f t="shared" si="16"/>
        <v>682.45652404259931</v>
      </c>
      <c r="M20" s="425">
        <f t="shared" si="9"/>
        <v>308.86746105851392</v>
      </c>
      <c r="N20" s="427">
        <f t="shared" si="17"/>
        <v>1292.1862495058474</v>
      </c>
      <c r="O20" s="425">
        <f t="shared" si="10"/>
        <v>18.062734658017703</v>
      </c>
      <c r="P20" s="427">
        <f t="shared" si="18"/>
        <v>75.567744409118632</v>
      </c>
      <c r="Q20" s="425">
        <f t="shared" si="11"/>
        <v>34.200592318033522</v>
      </c>
      <c r="R20" s="428">
        <f t="shared" si="19"/>
        <v>143.08252143771762</v>
      </c>
      <c r="S20" s="395"/>
      <c r="T20" s="396"/>
      <c r="U20" s="395"/>
    </row>
    <row r="21" spans="1:21" x14ac:dyDescent="0.25">
      <c r="A21" s="382">
        <v>5</v>
      </c>
      <c r="B21" s="425">
        <f t="shared" si="4"/>
        <v>117.64950698420954</v>
      </c>
      <c r="C21" s="425">
        <f t="shared" si="12"/>
        <v>624.61721055871192</v>
      </c>
      <c r="D21" s="425">
        <f t="shared" si="5"/>
        <v>222.76155305191023</v>
      </c>
      <c r="E21" s="427">
        <f t="shared" si="13"/>
        <v>1182.6713383991112</v>
      </c>
      <c r="F21" s="425">
        <f t="shared" si="6"/>
        <v>13.027215009943422</v>
      </c>
      <c r="G21" s="427">
        <f t="shared" si="14"/>
        <v>69.163253713860115</v>
      </c>
      <c r="H21" s="425">
        <f t="shared" si="7"/>
        <v>24.666169216889646</v>
      </c>
      <c r="I21" s="428">
        <f t="shared" si="15"/>
        <v>130.95604228490845</v>
      </c>
      <c r="J21" s="397"/>
      <c r="K21" s="425">
        <f t="shared" si="8"/>
        <v>158.37433632489743</v>
      </c>
      <c r="L21" s="425">
        <f t="shared" si="16"/>
        <v>840.83086036749671</v>
      </c>
      <c r="M21" s="425">
        <f t="shared" si="9"/>
        <v>299.87132141603297</v>
      </c>
      <c r="N21" s="427">
        <f t="shared" si="17"/>
        <v>1592.0575709218804</v>
      </c>
      <c r="O21" s="425">
        <f t="shared" si="10"/>
        <v>17.536635590308453</v>
      </c>
      <c r="P21" s="427">
        <f t="shared" si="18"/>
        <v>93.104379999427081</v>
      </c>
      <c r="Q21" s="425">
        <f t="shared" si="11"/>
        <v>33.204458561197598</v>
      </c>
      <c r="R21" s="428">
        <f t="shared" si="19"/>
        <v>176.28697999891523</v>
      </c>
      <c r="S21" s="395"/>
      <c r="T21" s="396"/>
      <c r="U21" s="395"/>
    </row>
    <row r="22" spans="1:21" x14ac:dyDescent="0.25">
      <c r="A22" s="382">
        <v>6</v>
      </c>
      <c r="B22" s="425">
        <f t="shared" si="4"/>
        <v>114.22282231476653</v>
      </c>
      <c r="C22" s="425">
        <f t="shared" si="12"/>
        <v>738.84003287347844</v>
      </c>
      <c r="D22" s="425">
        <f t="shared" si="5"/>
        <v>216.27335247758273</v>
      </c>
      <c r="E22" s="427">
        <f t="shared" si="13"/>
        <v>1398.9446908766938</v>
      </c>
      <c r="F22" s="425">
        <f t="shared" si="6"/>
        <v>12.647781563051865</v>
      </c>
      <c r="G22" s="427">
        <f t="shared" si="14"/>
        <v>81.81103527691198</v>
      </c>
      <c r="H22" s="425">
        <f t="shared" si="7"/>
        <v>23.947737103776355</v>
      </c>
      <c r="I22" s="428">
        <f t="shared" si="15"/>
        <v>154.9037793886848</v>
      </c>
      <c r="J22" s="397"/>
      <c r="K22" s="425">
        <f t="shared" si="8"/>
        <v>153.76149157757033</v>
      </c>
      <c r="L22" s="425">
        <f t="shared" si="16"/>
        <v>994.59235194506709</v>
      </c>
      <c r="M22" s="425">
        <f t="shared" si="9"/>
        <v>291.13720525828438</v>
      </c>
      <c r="N22" s="427">
        <f t="shared" si="17"/>
        <v>1883.1947761801648</v>
      </c>
      <c r="O22" s="425">
        <f t="shared" si="10"/>
        <v>17.025859796415972</v>
      </c>
      <c r="P22" s="427">
        <f t="shared" si="18"/>
        <v>110.13023979584305</v>
      </c>
      <c r="Q22" s="425">
        <f t="shared" si="11"/>
        <v>32.237338408929702</v>
      </c>
      <c r="R22" s="428">
        <f t="shared" si="19"/>
        <v>208.52431840784493</v>
      </c>
      <c r="S22" s="395"/>
      <c r="T22" s="396"/>
      <c r="U22" s="395"/>
    </row>
    <row r="23" spans="1:21" x14ac:dyDescent="0.25">
      <c r="A23" s="382">
        <v>7</v>
      </c>
      <c r="B23" s="425">
        <f t="shared" si="4"/>
        <v>110.89594399491895</v>
      </c>
      <c r="C23" s="425">
        <f t="shared" si="12"/>
        <v>849.73597686839742</v>
      </c>
      <c r="D23" s="425">
        <f t="shared" si="5"/>
        <v>209.97412861901233</v>
      </c>
      <c r="E23" s="427">
        <f t="shared" si="13"/>
        <v>1608.9188194957062</v>
      </c>
      <c r="F23" s="425">
        <f t="shared" si="6"/>
        <v>12.279399575778509</v>
      </c>
      <c r="G23" s="427">
        <f t="shared" si="14"/>
        <v>94.090434852690493</v>
      </c>
      <c r="H23" s="425">
        <f t="shared" si="7"/>
        <v>23.25023019784112</v>
      </c>
      <c r="I23" s="428">
        <f t="shared" si="15"/>
        <v>178.15400958652592</v>
      </c>
      <c r="J23" s="397"/>
      <c r="K23" s="425">
        <f t="shared" si="8"/>
        <v>149.28300153162166</v>
      </c>
      <c r="L23" s="425">
        <f t="shared" si="16"/>
        <v>1143.8753534766888</v>
      </c>
      <c r="M23" s="425">
        <f t="shared" si="9"/>
        <v>282.65748083328583</v>
      </c>
      <c r="N23" s="427">
        <f t="shared" si="17"/>
        <v>2165.8522570134505</v>
      </c>
      <c r="O23" s="425">
        <f t="shared" si="10"/>
        <v>16.529960967394146</v>
      </c>
      <c r="P23" s="427">
        <f t="shared" si="18"/>
        <v>126.6602007632372</v>
      </c>
      <c r="Q23" s="425">
        <f t="shared" si="11"/>
        <v>31.298386804786116</v>
      </c>
      <c r="R23" s="428">
        <f t="shared" si="19"/>
        <v>239.82270521263104</v>
      </c>
      <c r="S23" s="395"/>
      <c r="T23" s="396"/>
      <c r="U23" s="395"/>
    </row>
    <row r="24" spans="1:21" x14ac:dyDescent="0.25">
      <c r="A24" s="382">
        <v>8</v>
      </c>
      <c r="B24" s="425">
        <f t="shared" si="4"/>
        <v>107.66596504361065</v>
      </c>
      <c r="C24" s="425">
        <f t="shared" si="12"/>
        <v>957.40194191200806</v>
      </c>
      <c r="D24" s="425">
        <f t="shared" si="5"/>
        <v>203.85837730001199</v>
      </c>
      <c r="E24" s="427">
        <f t="shared" si="13"/>
        <v>1812.7771967957183</v>
      </c>
      <c r="F24" s="425">
        <f t="shared" si="6"/>
        <v>11.921747160950011</v>
      </c>
      <c r="G24" s="427">
        <f t="shared" si="14"/>
        <v>106.0121820136405</v>
      </c>
      <c r="H24" s="425">
        <f t="shared" si="7"/>
        <v>22.573039027030216</v>
      </c>
      <c r="I24" s="428">
        <f t="shared" si="15"/>
        <v>200.72704861355612</v>
      </c>
      <c r="J24" s="397"/>
      <c r="K24" s="425">
        <f t="shared" si="8"/>
        <v>144.934952943322</v>
      </c>
      <c r="L24" s="425">
        <f t="shared" si="16"/>
        <v>1288.8103064200109</v>
      </c>
      <c r="M24" s="425">
        <f t="shared" si="9"/>
        <v>274.42473867309303</v>
      </c>
      <c r="N24" s="427">
        <f t="shared" si="17"/>
        <v>2440.2769956865436</v>
      </c>
      <c r="O24" s="425">
        <f t="shared" si="10"/>
        <v>16.04850579358655</v>
      </c>
      <c r="P24" s="427">
        <f t="shared" si="18"/>
        <v>142.70870655682376</v>
      </c>
      <c r="Q24" s="425">
        <f t="shared" si="11"/>
        <v>30.386783305617591</v>
      </c>
      <c r="R24" s="428">
        <f t="shared" si="19"/>
        <v>270.20948851824863</v>
      </c>
      <c r="S24" s="395"/>
      <c r="T24" s="396"/>
      <c r="U24" s="395"/>
    </row>
    <row r="25" spans="1:21" x14ac:dyDescent="0.25">
      <c r="A25" s="382">
        <v>9</v>
      </c>
      <c r="B25" s="425">
        <f t="shared" si="4"/>
        <v>104.53006314913655</v>
      </c>
      <c r="C25" s="425">
        <f t="shared" si="12"/>
        <v>1061.9320050611445</v>
      </c>
      <c r="D25" s="425">
        <f t="shared" si="5"/>
        <v>197.92075466020583</v>
      </c>
      <c r="E25" s="427">
        <f t="shared" si="13"/>
        <v>2010.6979514559241</v>
      </c>
      <c r="F25" s="425">
        <f t="shared" si="6"/>
        <v>11.574511806747582</v>
      </c>
      <c r="G25" s="427">
        <f t="shared" si="14"/>
        <v>117.58669382038808</v>
      </c>
      <c r="H25" s="425">
        <f t="shared" si="7"/>
        <v>21.915571870903122</v>
      </c>
      <c r="I25" s="428">
        <f t="shared" si="15"/>
        <v>222.64262048445926</v>
      </c>
      <c r="J25" s="397"/>
      <c r="K25" s="425">
        <f t="shared" si="8"/>
        <v>140.71354654691459</v>
      </c>
      <c r="L25" s="425">
        <f t="shared" si="16"/>
        <v>1429.5238529669255</v>
      </c>
      <c r="M25" s="425">
        <f t="shared" si="9"/>
        <v>266.43178511950782</v>
      </c>
      <c r="N25" s="427">
        <f t="shared" si="17"/>
        <v>2706.7087808060514</v>
      </c>
      <c r="O25" s="425">
        <f t="shared" si="10"/>
        <v>15.58107358600636</v>
      </c>
      <c r="P25" s="427">
        <f t="shared" si="18"/>
        <v>158.28978014283012</v>
      </c>
      <c r="Q25" s="425">
        <f t="shared" si="11"/>
        <v>29.501731364677273</v>
      </c>
      <c r="R25" s="428">
        <f t="shared" si="19"/>
        <v>299.71121988292589</v>
      </c>
      <c r="S25" s="395"/>
      <c r="T25" s="396"/>
      <c r="U25" s="395"/>
    </row>
    <row r="26" spans="1:21" x14ac:dyDescent="0.25">
      <c r="A26" s="382">
        <v>10</v>
      </c>
      <c r="B26" s="425">
        <f t="shared" si="4"/>
        <v>101.4854982030452</v>
      </c>
      <c r="C26" s="425">
        <f t="shared" si="12"/>
        <v>1163.4175032641897</v>
      </c>
      <c r="D26" s="425">
        <f t="shared" si="5"/>
        <v>192.15607248563671</v>
      </c>
      <c r="E26" s="427">
        <f t="shared" si="13"/>
        <v>2202.8540239415606</v>
      </c>
      <c r="F26" s="425">
        <f t="shared" si="6"/>
        <v>11.237390103638429</v>
      </c>
      <c r="G26" s="427">
        <f t="shared" si="14"/>
        <v>128.8240839240265</v>
      </c>
      <c r="H26" s="425">
        <f t="shared" si="7"/>
        <v>21.277254243595262</v>
      </c>
      <c r="I26" s="428">
        <f t="shared" si="15"/>
        <v>243.91987472805451</v>
      </c>
      <c r="J26" s="397"/>
      <c r="K26" s="425">
        <f t="shared" si="8"/>
        <v>136.61509373486851</v>
      </c>
      <c r="L26" s="425">
        <f t="shared" si="16"/>
        <v>1566.1389467017939</v>
      </c>
      <c r="M26" s="425">
        <f t="shared" si="9"/>
        <v>258.67163603835706</v>
      </c>
      <c r="N26" s="427">
        <f t="shared" si="17"/>
        <v>2965.3804168444085</v>
      </c>
      <c r="O26" s="425">
        <f t="shared" si="10"/>
        <v>15.12725590874404</v>
      </c>
      <c r="P26" s="427">
        <f t="shared" si="18"/>
        <v>173.41703605157417</v>
      </c>
      <c r="Q26" s="425">
        <f t="shared" si="11"/>
        <v>28.642457635609002</v>
      </c>
      <c r="R26" s="428">
        <f t="shared" si="19"/>
        <v>328.35367751853488</v>
      </c>
      <c r="S26" s="395"/>
      <c r="T26" s="396"/>
      <c r="U26" s="395"/>
    </row>
    <row r="28" spans="1:21" s="401" customFormat="1" ht="18.75" x14ac:dyDescent="0.3">
      <c r="B28" s="941" t="s">
        <v>225</v>
      </c>
      <c r="C28" s="941"/>
      <c r="D28" s="941"/>
      <c r="E28" s="941"/>
      <c r="F28" s="941"/>
      <c r="G28" s="941"/>
      <c r="H28" s="941"/>
      <c r="I28" s="941"/>
      <c r="J28" s="426"/>
      <c r="K28" s="941" t="s">
        <v>226</v>
      </c>
      <c r="L28" s="941"/>
      <c r="M28" s="941"/>
      <c r="N28" s="941"/>
      <c r="O28" s="941"/>
      <c r="P28" s="941"/>
      <c r="Q28" s="941"/>
      <c r="R28" s="941"/>
      <c r="S28" s="419"/>
      <c r="T28" s="419"/>
      <c r="U28" s="419"/>
    </row>
    <row r="29" spans="1:21" ht="15" customHeight="1" x14ac:dyDescent="0.25">
      <c r="A29" s="382" t="s">
        <v>224</v>
      </c>
      <c r="B29" s="382" t="s">
        <v>90</v>
      </c>
      <c r="C29" s="382" t="s">
        <v>89</v>
      </c>
      <c r="D29" s="382" t="s">
        <v>91</v>
      </c>
      <c r="E29" s="382" t="s">
        <v>89</v>
      </c>
      <c r="F29" s="382" t="s">
        <v>92</v>
      </c>
      <c r="G29" s="382" t="s">
        <v>89</v>
      </c>
      <c r="H29" s="382" t="s">
        <v>66</v>
      </c>
      <c r="I29" s="382" t="s">
        <v>89</v>
      </c>
      <c r="K29" s="381" t="s">
        <v>90</v>
      </c>
      <c r="L29" s="381" t="s">
        <v>89</v>
      </c>
      <c r="M29" s="381" t="s">
        <v>91</v>
      </c>
      <c r="N29" s="381" t="s">
        <v>89</v>
      </c>
      <c r="O29" s="381" t="s">
        <v>92</v>
      </c>
      <c r="P29" s="381" t="s">
        <v>89</v>
      </c>
      <c r="Q29" s="381" t="s">
        <v>66</v>
      </c>
      <c r="R29" s="381" t="s">
        <v>89</v>
      </c>
    </row>
    <row r="30" spans="1:21" ht="15" customHeight="1" x14ac:dyDescent="0.25">
      <c r="A30" s="382">
        <v>1</v>
      </c>
      <c r="B30" s="425">
        <f t="shared" ref="B30:B39" si="20">$I$9/(1+$D$8)^A30</f>
        <v>38.923178433405603</v>
      </c>
      <c r="C30" s="425">
        <f>B30</f>
        <v>38.923178433405603</v>
      </c>
      <c r="D30" s="425">
        <f t="shared" ref="D30:D39" si="21">$K$9/(1+$D$8)^A30</f>
        <v>400.90873786407764</v>
      </c>
      <c r="E30" s="427">
        <f>D30</f>
        <v>400.90873786407764</v>
      </c>
      <c r="F30" s="425">
        <f t="shared" ref="F30:F39" si="22">$M$9/(1+$D$8)^A30</f>
        <v>4.3099255349231775</v>
      </c>
      <c r="G30" s="425">
        <f>F30</f>
        <v>4.3099255349231775</v>
      </c>
      <c r="H30" s="425">
        <f>$O$9/(1+$D$8)^A30</f>
        <v>44.392233009708733</v>
      </c>
      <c r="I30" s="425">
        <f>H30</f>
        <v>44.392233009708733</v>
      </c>
      <c r="J30" s="397"/>
      <c r="K30" s="425">
        <f t="shared" ref="K30:K39" si="23">$J$9/(1+$D$8)^A30</f>
        <v>42.760674898670956</v>
      </c>
      <c r="L30" s="425">
        <f>K30</f>
        <v>42.760674898670956</v>
      </c>
      <c r="M30" s="425">
        <f t="shared" ref="M30:M39" si="24">$L$9/(1+$D$8)^A30</f>
        <v>440.43495145631073</v>
      </c>
      <c r="N30" s="427">
        <f>M30</f>
        <v>440.43495145631073</v>
      </c>
      <c r="O30" s="425">
        <f t="shared" ref="O30:O39" si="25">$N$9/(1+$D$8)^A30</f>
        <v>4.734847770760676</v>
      </c>
      <c r="P30" s="425">
        <f>O30</f>
        <v>4.734847770760676</v>
      </c>
      <c r="Q30" s="425">
        <f t="shared" ref="Q30:Q39" si="26">$P$9/(1+$D$8)^A30</f>
        <v>48.768932038834954</v>
      </c>
      <c r="R30" s="425">
        <f>Q30</f>
        <v>48.768932038834954</v>
      </c>
      <c r="S30" s="395"/>
      <c r="T30" s="396"/>
      <c r="U30" s="395"/>
    </row>
    <row r="31" spans="1:21" ht="15" customHeight="1" x14ac:dyDescent="0.25">
      <c r="A31" s="382">
        <v>2</v>
      </c>
      <c r="B31" s="425">
        <f t="shared" si="20"/>
        <v>37.789493624665631</v>
      </c>
      <c r="C31" s="425">
        <f>C30+B31</f>
        <v>76.712672058071234</v>
      </c>
      <c r="D31" s="425">
        <f t="shared" si="21"/>
        <v>389.23178433405599</v>
      </c>
      <c r="E31" s="427">
        <f>E30+D31</f>
        <v>790.14052219813357</v>
      </c>
      <c r="F31" s="425">
        <f t="shared" si="22"/>
        <v>4.1843937232263864</v>
      </c>
      <c r="G31" s="425">
        <f>G30+F31</f>
        <v>8.494319258149563</v>
      </c>
      <c r="H31" s="425">
        <f t="shared" ref="H31:H39" si="27">$O$9/(1+$D$8)^A31</f>
        <v>43.099255349231782</v>
      </c>
      <c r="I31" s="425">
        <f>I30+H31</f>
        <v>87.491488358940515</v>
      </c>
      <c r="J31" s="397"/>
      <c r="K31" s="425">
        <f t="shared" si="23"/>
        <v>41.515218348224231</v>
      </c>
      <c r="L31" s="425">
        <f>L30+K31</f>
        <v>84.27589324689518</v>
      </c>
      <c r="M31" s="425">
        <f t="shared" si="24"/>
        <v>427.60674898670948</v>
      </c>
      <c r="N31" s="427">
        <f>N30+M31</f>
        <v>868.0417004430202</v>
      </c>
      <c r="O31" s="425">
        <f t="shared" si="25"/>
        <v>4.5969395832627926</v>
      </c>
      <c r="P31" s="425">
        <f>P30+O31</f>
        <v>9.3317873540234686</v>
      </c>
      <c r="Q31" s="425">
        <f t="shared" si="26"/>
        <v>47.348477707606754</v>
      </c>
      <c r="R31" s="425">
        <f>R30+Q31</f>
        <v>96.117409746441709</v>
      </c>
      <c r="S31" s="395"/>
      <c r="T31" s="396"/>
      <c r="U31" s="395"/>
    </row>
    <row r="32" spans="1:21" ht="15" customHeight="1" x14ac:dyDescent="0.25">
      <c r="A32" s="382">
        <v>3</v>
      </c>
      <c r="B32" s="425">
        <f t="shared" si="20"/>
        <v>36.688828761811294</v>
      </c>
      <c r="C32" s="425">
        <f t="shared" ref="C32:C39" si="28">C31+B32</f>
        <v>113.40150081988253</v>
      </c>
      <c r="D32" s="425">
        <f t="shared" si="21"/>
        <v>377.8949362466563</v>
      </c>
      <c r="E32" s="427">
        <f t="shared" ref="E32:E39" si="29">E31+D32</f>
        <v>1168.0354584447898</v>
      </c>
      <c r="F32" s="425">
        <f t="shared" si="22"/>
        <v>4.0625181778896957</v>
      </c>
      <c r="G32" s="427">
        <f t="shared" ref="G32:G39" si="30">G31+F32</f>
        <v>12.55683743603926</v>
      </c>
      <c r="H32" s="425">
        <f t="shared" si="27"/>
        <v>41.843937232263862</v>
      </c>
      <c r="I32" s="428">
        <f t="shared" ref="I32:I39" si="31">I31+H32</f>
        <v>129.33542559120437</v>
      </c>
      <c r="J32" s="397"/>
      <c r="K32" s="425">
        <f t="shared" si="23"/>
        <v>40.306037231285657</v>
      </c>
      <c r="L32" s="425">
        <f t="shared" ref="L32:L39" si="32">L31+K32</f>
        <v>124.58193047818084</v>
      </c>
      <c r="M32" s="425">
        <f t="shared" si="24"/>
        <v>415.15218348224221</v>
      </c>
      <c r="N32" s="427">
        <f t="shared" ref="N32:N39" si="33">N31+M32</f>
        <v>1283.1938839252625</v>
      </c>
      <c r="O32" s="425">
        <f t="shared" si="25"/>
        <v>4.4630481390900902</v>
      </c>
      <c r="P32" s="427">
        <f t="shared" ref="P32:P39" si="34">P31+O32</f>
        <v>13.79483549311356</v>
      </c>
      <c r="Q32" s="425">
        <f t="shared" si="26"/>
        <v>45.969395832627917</v>
      </c>
      <c r="R32" s="428">
        <f t="shared" ref="R32:R39" si="35">R31+Q32</f>
        <v>142.08680557906962</v>
      </c>
      <c r="S32" s="395"/>
      <c r="T32" s="396"/>
      <c r="U32" s="395"/>
    </row>
    <row r="33" spans="1:21" x14ac:dyDescent="0.25">
      <c r="A33" s="382">
        <v>4</v>
      </c>
      <c r="B33" s="425">
        <f t="shared" si="20"/>
        <v>35.620222098845922</v>
      </c>
      <c r="C33" s="425">
        <f t="shared" si="28"/>
        <v>149.02172291872844</v>
      </c>
      <c r="D33" s="425">
        <f t="shared" si="21"/>
        <v>366.88828761811294</v>
      </c>
      <c r="E33" s="427">
        <f t="shared" si="29"/>
        <v>1534.9237460629029</v>
      </c>
      <c r="F33" s="425">
        <f t="shared" si="22"/>
        <v>3.9441924057181512</v>
      </c>
      <c r="G33" s="427">
        <f t="shared" si="30"/>
        <v>16.501029841757411</v>
      </c>
      <c r="H33" s="425">
        <f t="shared" si="27"/>
        <v>40.625181778896959</v>
      </c>
      <c r="I33" s="428">
        <f t="shared" si="31"/>
        <v>169.96060737010134</v>
      </c>
      <c r="J33" s="397"/>
      <c r="K33" s="425">
        <f t="shared" si="23"/>
        <v>39.132074981830741</v>
      </c>
      <c r="L33" s="425">
        <f t="shared" si="32"/>
        <v>163.71400546001158</v>
      </c>
      <c r="M33" s="425">
        <f t="shared" si="24"/>
        <v>403.06037231285654</v>
      </c>
      <c r="N33" s="427">
        <f t="shared" si="33"/>
        <v>1686.2542562381191</v>
      </c>
      <c r="O33" s="425">
        <f t="shared" si="25"/>
        <v>4.3330564457185341</v>
      </c>
      <c r="P33" s="427">
        <f t="shared" si="34"/>
        <v>18.127891938832093</v>
      </c>
      <c r="Q33" s="425">
        <f t="shared" si="26"/>
        <v>44.630481390900897</v>
      </c>
      <c r="R33" s="428">
        <f t="shared" si="35"/>
        <v>186.71728696997053</v>
      </c>
      <c r="S33" s="395"/>
      <c r="T33" s="396"/>
      <c r="U33" s="395"/>
    </row>
    <row r="34" spans="1:21" x14ac:dyDescent="0.25">
      <c r="A34" s="382">
        <v>5</v>
      </c>
      <c r="B34" s="425">
        <f t="shared" si="20"/>
        <v>34.582739901792159</v>
      </c>
      <c r="C34" s="425">
        <f t="shared" si="28"/>
        <v>183.60446282052061</v>
      </c>
      <c r="D34" s="425">
        <f t="shared" si="21"/>
        <v>356.20222098845915</v>
      </c>
      <c r="E34" s="427">
        <f t="shared" si="29"/>
        <v>1891.1259670513621</v>
      </c>
      <c r="F34" s="425">
        <f t="shared" si="22"/>
        <v>3.8293130152603414</v>
      </c>
      <c r="G34" s="427">
        <f t="shared" si="30"/>
        <v>20.330342857017754</v>
      </c>
      <c r="H34" s="425">
        <f t="shared" si="27"/>
        <v>39.441924057181517</v>
      </c>
      <c r="I34" s="428">
        <f t="shared" si="31"/>
        <v>209.40253142728287</v>
      </c>
      <c r="J34" s="397"/>
      <c r="K34" s="425">
        <f t="shared" si="23"/>
        <v>37.992305807602662</v>
      </c>
      <c r="L34" s="425">
        <f t="shared" si="32"/>
        <v>201.70631126761424</v>
      </c>
      <c r="M34" s="425">
        <f t="shared" si="24"/>
        <v>391.32074981830732</v>
      </c>
      <c r="N34" s="427">
        <f t="shared" si="33"/>
        <v>2077.5750060564264</v>
      </c>
      <c r="O34" s="425">
        <f t="shared" si="25"/>
        <v>4.206850918173334</v>
      </c>
      <c r="P34" s="427">
        <f t="shared" si="34"/>
        <v>22.334742857005427</v>
      </c>
      <c r="Q34" s="425">
        <f t="shared" si="26"/>
        <v>43.330564457185339</v>
      </c>
      <c r="R34" s="428">
        <f t="shared" si="35"/>
        <v>230.04785142715588</v>
      </c>
      <c r="S34" s="395"/>
      <c r="T34" s="396"/>
      <c r="U34" s="395"/>
    </row>
    <row r="35" spans="1:21" x14ac:dyDescent="0.25">
      <c r="A35" s="382">
        <v>6</v>
      </c>
      <c r="B35" s="425">
        <f t="shared" si="20"/>
        <v>33.575475632807915</v>
      </c>
      <c r="C35" s="425">
        <f t="shared" si="28"/>
        <v>217.17993845332853</v>
      </c>
      <c r="D35" s="425">
        <f t="shared" si="21"/>
        <v>345.82739901792149</v>
      </c>
      <c r="E35" s="427">
        <f t="shared" si="29"/>
        <v>2236.9533660692837</v>
      </c>
      <c r="F35" s="425">
        <f t="shared" si="22"/>
        <v>3.7177796264663505</v>
      </c>
      <c r="G35" s="427">
        <f t="shared" si="30"/>
        <v>24.048122483484104</v>
      </c>
      <c r="H35" s="425">
        <f t="shared" si="27"/>
        <v>38.29313015260341</v>
      </c>
      <c r="I35" s="428">
        <f t="shared" si="31"/>
        <v>247.69566157988629</v>
      </c>
      <c r="J35" s="397"/>
      <c r="K35" s="425">
        <f t="shared" si="23"/>
        <v>36.885733793788987</v>
      </c>
      <c r="L35" s="425">
        <f t="shared" si="32"/>
        <v>238.59204506140321</v>
      </c>
      <c r="M35" s="425">
        <f t="shared" si="24"/>
        <v>379.92305807602651</v>
      </c>
      <c r="N35" s="427">
        <f t="shared" si="33"/>
        <v>2457.4980641324528</v>
      </c>
      <c r="O35" s="425">
        <f t="shared" si="25"/>
        <v>4.0843212797799362</v>
      </c>
      <c r="P35" s="427">
        <f t="shared" si="34"/>
        <v>26.419064136785362</v>
      </c>
      <c r="Q35" s="425">
        <f t="shared" si="26"/>
        <v>42.068509181733333</v>
      </c>
      <c r="R35" s="428">
        <f t="shared" si="35"/>
        <v>272.11636060888918</v>
      </c>
      <c r="S35" s="395"/>
      <c r="T35" s="396"/>
      <c r="U35" s="395"/>
    </row>
    <row r="36" spans="1:21" x14ac:dyDescent="0.25">
      <c r="A36" s="382">
        <v>7</v>
      </c>
      <c r="B36" s="425">
        <f t="shared" si="20"/>
        <v>32.597549158065938</v>
      </c>
      <c r="C36" s="425">
        <f t="shared" si="28"/>
        <v>249.77748761139446</v>
      </c>
      <c r="D36" s="425">
        <f t="shared" si="21"/>
        <v>335.75475632807911</v>
      </c>
      <c r="E36" s="427">
        <f t="shared" si="29"/>
        <v>2572.7081223973628</v>
      </c>
      <c r="F36" s="425">
        <f t="shared" si="22"/>
        <v>3.609494782977039</v>
      </c>
      <c r="G36" s="427">
        <f t="shared" si="30"/>
        <v>27.657617266461141</v>
      </c>
      <c r="H36" s="425">
        <f t="shared" si="27"/>
        <v>37.177796264663506</v>
      </c>
      <c r="I36" s="428">
        <f t="shared" si="31"/>
        <v>284.87345784454982</v>
      </c>
      <c r="J36" s="397"/>
      <c r="K36" s="425">
        <f t="shared" si="23"/>
        <v>35.811392032804839</v>
      </c>
      <c r="L36" s="425">
        <f t="shared" si="32"/>
        <v>274.40343709420807</v>
      </c>
      <c r="M36" s="425">
        <f t="shared" si="24"/>
        <v>368.85733793788984</v>
      </c>
      <c r="N36" s="427">
        <f t="shared" si="33"/>
        <v>2826.3554020703427</v>
      </c>
      <c r="O36" s="425">
        <f t="shared" si="25"/>
        <v>3.9653604658057628</v>
      </c>
      <c r="P36" s="427">
        <f t="shared" si="34"/>
        <v>30.384424602591125</v>
      </c>
      <c r="Q36" s="425">
        <f t="shared" si="26"/>
        <v>40.843212797799353</v>
      </c>
      <c r="R36" s="428">
        <f t="shared" si="35"/>
        <v>312.95957340668855</v>
      </c>
      <c r="S36" s="395"/>
      <c r="T36" s="396"/>
      <c r="U36" s="395"/>
    </row>
    <row r="37" spans="1:21" x14ac:dyDescent="0.25">
      <c r="A37" s="382">
        <v>8</v>
      </c>
      <c r="B37" s="425">
        <f t="shared" si="20"/>
        <v>31.648105978704795</v>
      </c>
      <c r="C37" s="425">
        <f t="shared" si="28"/>
        <v>281.42559359009925</v>
      </c>
      <c r="D37" s="425">
        <f t="shared" si="21"/>
        <v>325.97549158065937</v>
      </c>
      <c r="E37" s="427">
        <f t="shared" si="29"/>
        <v>2898.6836139780221</v>
      </c>
      <c r="F37" s="425">
        <f t="shared" si="22"/>
        <v>3.5043638669679997</v>
      </c>
      <c r="G37" s="427">
        <f t="shared" si="30"/>
        <v>31.161981133429141</v>
      </c>
      <c r="H37" s="425">
        <f t="shared" si="27"/>
        <v>36.094947829770398</v>
      </c>
      <c r="I37" s="428">
        <f t="shared" si="31"/>
        <v>320.96840567432019</v>
      </c>
      <c r="J37" s="397"/>
      <c r="K37" s="425">
        <f t="shared" si="23"/>
        <v>34.76834177942218</v>
      </c>
      <c r="L37" s="425">
        <f t="shared" si="32"/>
        <v>309.17177887363027</v>
      </c>
      <c r="M37" s="425">
        <f t="shared" si="24"/>
        <v>358.11392032804838</v>
      </c>
      <c r="N37" s="427">
        <f t="shared" si="33"/>
        <v>3184.4693223983913</v>
      </c>
      <c r="O37" s="425">
        <f t="shared" si="25"/>
        <v>3.8498645299085084</v>
      </c>
      <c r="P37" s="427">
        <f t="shared" si="34"/>
        <v>34.234289132499633</v>
      </c>
      <c r="Q37" s="425">
        <f t="shared" si="26"/>
        <v>39.653604658057624</v>
      </c>
      <c r="R37" s="428">
        <f t="shared" si="35"/>
        <v>352.61317806474619</v>
      </c>
      <c r="S37" s="395"/>
      <c r="T37" s="396"/>
      <c r="U37" s="395"/>
    </row>
    <row r="38" spans="1:21" x14ac:dyDescent="0.25">
      <c r="A38" s="382">
        <v>9</v>
      </c>
      <c r="B38" s="425">
        <f t="shared" si="20"/>
        <v>30.726316484179414</v>
      </c>
      <c r="C38" s="425">
        <f t="shared" si="28"/>
        <v>312.15191007427865</v>
      </c>
      <c r="D38" s="425">
        <f t="shared" si="21"/>
        <v>316.48105978704791</v>
      </c>
      <c r="E38" s="427">
        <f t="shared" si="29"/>
        <v>3215.1646737650699</v>
      </c>
      <c r="F38" s="425">
        <f t="shared" si="22"/>
        <v>3.402295016473786</v>
      </c>
      <c r="G38" s="427">
        <f t="shared" si="30"/>
        <v>34.564276149902923</v>
      </c>
      <c r="H38" s="425">
        <f t="shared" si="27"/>
        <v>35.043638669679993</v>
      </c>
      <c r="I38" s="428">
        <f t="shared" si="31"/>
        <v>356.01204434400017</v>
      </c>
      <c r="J38" s="397"/>
      <c r="K38" s="425">
        <f t="shared" si="23"/>
        <v>33.755671630506974</v>
      </c>
      <c r="L38" s="425">
        <f t="shared" si="32"/>
        <v>342.92745050413725</v>
      </c>
      <c r="M38" s="425">
        <f t="shared" si="24"/>
        <v>347.68341779422173</v>
      </c>
      <c r="N38" s="427">
        <f t="shared" si="33"/>
        <v>3532.1527401926132</v>
      </c>
      <c r="O38" s="425">
        <f t="shared" si="25"/>
        <v>3.7377325533092312</v>
      </c>
      <c r="P38" s="427">
        <f t="shared" si="34"/>
        <v>37.972021685808862</v>
      </c>
      <c r="Q38" s="425">
        <f t="shared" si="26"/>
        <v>38.498645299085076</v>
      </c>
      <c r="R38" s="428">
        <f t="shared" si="35"/>
        <v>391.11182336383126</v>
      </c>
      <c r="S38" s="395"/>
      <c r="T38" s="396"/>
      <c r="U38" s="395"/>
    </row>
    <row r="39" spans="1:21" x14ac:dyDescent="0.25">
      <c r="A39" s="382">
        <v>10</v>
      </c>
      <c r="B39" s="425">
        <f t="shared" si="20"/>
        <v>29.831375227358652</v>
      </c>
      <c r="C39" s="425">
        <f t="shared" si="28"/>
        <v>341.9832853016373</v>
      </c>
      <c r="D39" s="425">
        <f t="shared" si="21"/>
        <v>307.26316484179409</v>
      </c>
      <c r="E39" s="427">
        <f t="shared" si="29"/>
        <v>3522.427838606864</v>
      </c>
      <c r="F39" s="425">
        <f t="shared" si="22"/>
        <v>3.3031990451201803</v>
      </c>
      <c r="G39" s="427">
        <f t="shared" si="30"/>
        <v>37.867475195023104</v>
      </c>
      <c r="H39" s="425">
        <f t="shared" si="27"/>
        <v>34.022950164737857</v>
      </c>
      <c r="I39" s="428">
        <f t="shared" si="31"/>
        <v>390.03499450873801</v>
      </c>
      <c r="J39" s="397"/>
      <c r="K39" s="425">
        <f t="shared" si="23"/>
        <v>32.772496728647546</v>
      </c>
      <c r="L39" s="425">
        <f t="shared" si="32"/>
        <v>375.69994723278478</v>
      </c>
      <c r="M39" s="425">
        <f t="shared" si="24"/>
        <v>337.55671630506964</v>
      </c>
      <c r="N39" s="427">
        <f t="shared" si="33"/>
        <v>3869.7094564976828</v>
      </c>
      <c r="O39" s="425">
        <f t="shared" si="25"/>
        <v>3.628866556610904</v>
      </c>
      <c r="P39" s="427">
        <f t="shared" si="34"/>
        <v>41.600888242419764</v>
      </c>
      <c r="Q39" s="425">
        <f t="shared" si="26"/>
        <v>37.377325533092304</v>
      </c>
      <c r="R39" s="428">
        <f t="shared" si="35"/>
        <v>428.48914889692355</v>
      </c>
      <c r="S39" s="395"/>
      <c r="T39" s="396"/>
      <c r="U39" s="395"/>
    </row>
    <row r="41" spans="1:21" s="401" customFormat="1" ht="18.75" x14ac:dyDescent="0.3">
      <c r="B41" s="941" t="s">
        <v>232</v>
      </c>
      <c r="C41" s="941"/>
      <c r="D41" s="941"/>
      <c r="E41" s="941"/>
      <c r="F41" s="941"/>
      <c r="G41" s="941"/>
      <c r="H41" s="941"/>
      <c r="I41" s="941"/>
      <c r="J41" s="426"/>
      <c r="K41" s="941" t="s">
        <v>227</v>
      </c>
      <c r="L41" s="941"/>
      <c r="M41" s="941"/>
      <c r="N41" s="941"/>
      <c r="O41" s="941"/>
      <c r="P41" s="941"/>
      <c r="Q41" s="941"/>
      <c r="R41" s="941"/>
      <c r="S41" s="419"/>
      <c r="T41" s="419"/>
      <c r="U41" s="419"/>
    </row>
    <row r="42" spans="1:21" ht="15" customHeight="1" x14ac:dyDescent="0.25">
      <c r="A42" s="382" t="s">
        <v>224</v>
      </c>
      <c r="B42" s="382" t="s">
        <v>90</v>
      </c>
      <c r="C42" s="382" t="s">
        <v>89</v>
      </c>
      <c r="D42" s="382" t="s">
        <v>91</v>
      </c>
      <c r="E42" s="382" t="s">
        <v>89</v>
      </c>
      <c r="F42" s="382" t="s">
        <v>92</v>
      </c>
      <c r="G42" s="382" t="s">
        <v>89</v>
      </c>
      <c r="H42" s="382" t="s">
        <v>66</v>
      </c>
      <c r="I42" s="382" t="s">
        <v>89</v>
      </c>
      <c r="K42" s="381" t="s">
        <v>90</v>
      </c>
      <c r="L42" s="381" t="s">
        <v>89</v>
      </c>
      <c r="M42" s="381" t="s">
        <v>91</v>
      </c>
      <c r="N42" s="381" t="s">
        <v>89</v>
      </c>
      <c r="O42" s="381" t="s">
        <v>92</v>
      </c>
      <c r="P42" s="381" t="s">
        <v>89</v>
      </c>
      <c r="Q42" s="381" t="s">
        <v>66</v>
      </c>
      <c r="R42" s="381" t="s">
        <v>89</v>
      </c>
    </row>
    <row r="43" spans="1:21" ht="15" customHeight="1" x14ac:dyDescent="0.25">
      <c r="A43" s="382">
        <v>1</v>
      </c>
      <c r="B43" s="425">
        <f t="shared" ref="B43:B52" si="36">$I$10/(1+$D$8)^A43</f>
        <v>129.36748798190214</v>
      </c>
      <c r="C43" s="425">
        <f>B43</f>
        <v>129.36748798190214</v>
      </c>
      <c r="D43" s="425">
        <f t="shared" ref="D43:D52" si="37">$K$10/(1+$D$8)^A43</f>
        <v>254.09708737864074</v>
      </c>
      <c r="E43" s="427">
        <f>D43</f>
        <v>254.09708737864074</v>
      </c>
      <c r="F43" s="425">
        <f t="shared" ref="F43:F52" si="38">$M$10/(1+$D$8)^A43</f>
        <v>14.324735601847486</v>
      </c>
      <c r="G43" s="425">
        <f>F43</f>
        <v>14.324735601847486</v>
      </c>
      <c r="H43" s="425">
        <f>$O$10/(1+$D$8)^A43</f>
        <v>28.135922330097088</v>
      </c>
      <c r="I43" s="425">
        <f>H43</f>
        <v>28.135922330097088</v>
      </c>
      <c r="J43" s="397"/>
      <c r="K43" s="425">
        <f t="shared" ref="K43:K52" si="39">$J$10/(1+$D$8)^A43</f>
        <v>172.48998397586956</v>
      </c>
      <c r="L43" s="425">
        <f>K43</f>
        <v>172.48998397586956</v>
      </c>
      <c r="M43" s="425">
        <f t="shared" ref="M43:M52" si="40">$L$10/(1+$D$8)^A43</f>
        <v>338.79611650485435</v>
      </c>
      <c r="N43" s="427">
        <f>M43</f>
        <v>338.79611650485435</v>
      </c>
      <c r="O43" s="425">
        <f t="shared" ref="O43:O52" si="41">$N$10/(1+$D$8)^A43</f>
        <v>19.099647469129984</v>
      </c>
      <c r="P43" s="425">
        <f>O43</f>
        <v>19.099647469129984</v>
      </c>
      <c r="Q43" s="425">
        <f t="shared" ref="Q43:Q52" si="42">$P$10/(1+$D$8)^A43</f>
        <v>37.514563106796118</v>
      </c>
      <c r="R43" s="425">
        <f>Q43</f>
        <v>37.514563106796118</v>
      </c>
      <c r="S43" s="395"/>
      <c r="T43" s="396"/>
      <c r="U43" s="395"/>
    </row>
    <row r="44" spans="1:21" ht="15" customHeight="1" x14ac:dyDescent="0.25">
      <c r="A44" s="382">
        <v>2</v>
      </c>
      <c r="B44" s="425">
        <f t="shared" si="36"/>
        <v>125.59950289505065</v>
      </c>
      <c r="C44" s="425">
        <f>C43+B44</f>
        <v>254.96699087695279</v>
      </c>
      <c r="D44" s="425">
        <f t="shared" si="37"/>
        <v>246.69620133848616</v>
      </c>
      <c r="E44" s="427">
        <f>E43+D44</f>
        <v>500.79328871712687</v>
      </c>
      <c r="F44" s="425">
        <f t="shared" si="38"/>
        <v>13.907510293055813</v>
      </c>
      <c r="G44" s="425">
        <f>G43+F44</f>
        <v>28.232245894903301</v>
      </c>
      <c r="H44" s="425">
        <f>$O$10/(1+$D$8)^A44</f>
        <v>27.316429446696201</v>
      </c>
      <c r="I44" s="425">
        <f>I43+H44</f>
        <v>55.452351776793293</v>
      </c>
      <c r="J44" s="397"/>
      <c r="K44" s="425">
        <f t="shared" si="39"/>
        <v>167.46600386006756</v>
      </c>
      <c r="L44" s="425">
        <f>L43+K44</f>
        <v>339.95598783593709</v>
      </c>
      <c r="M44" s="425">
        <f t="shared" si="40"/>
        <v>328.92826845131492</v>
      </c>
      <c r="N44" s="427">
        <f>N43+M44</f>
        <v>667.72438495616927</v>
      </c>
      <c r="O44" s="425">
        <f t="shared" si="41"/>
        <v>18.54334705740775</v>
      </c>
      <c r="P44" s="425">
        <f>P43+O44</f>
        <v>37.642994526537734</v>
      </c>
      <c r="Q44" s="425">
        <f t="shared" si="42"/>
        <v>36.421905928928268</v>
      </c>
      <c r="R44" s="425">
        <f>R43+Q44</f>
        <v>73.936469035724386</v>
      </c>
      <c r="S44" s="395"/>
      <c r="T44" s="396"/>
      <c r="U44" s="395"/>
    </row>
    <row r="45" spans="1:21" ht="15" customHeight="1" x14ac:dyDescent="0.25">
      <c r="A45" s="382">
        <v>3</v>
      </c>
      <c r="B45" s="425">
        <f t="shared" si="36"/>
        <v>121.9412649466511</v>
      </c>
      <c r="C45" s="425">
        <f t="shared" ref="C45:C52" si="43">C44+B45</f>
        <v>376.90825582360389</v>
      </c>
      <c r="D45" s="425">
        <f t="shared" si="37"/>
        <v>239.51087508590891</v>
      </c>
      <c r="E45" s="427">
        <f t="shared" ref="E45:E52" si="44">E44+D45</f>
        <v>740.30416380303575</v>
      </c>
      <c r="F45" s="425">
        <f t="shared" si="38"/>
        <v>13.50243717772409</v>
      </c>
      <c r="G45" s="427">
        <f t="shared" ref="G45:G52" si="45">G44+F45</f>
        <v>41.734683072627391</v>
      </c>
      <c r="H45" s="425">
        <f t="shared" ref="H45:H52" si="46">$O$10/(1+$D$8)^A45</f>
        <v>26.520805288054564</v>
      </c>
      <c r="I45" s="428">
        <f t="shared" ref="I45:I52" si="47">I44+H45</f>
        <v>81.973157064847854</v>
      </c>
      <c r="J45" s="397"/>
      <c r="K45" s="425">
        <f t="shared" si="39"/>
        <v>162.58835326220151</v>
      </c>
      <c r="L45" s="425">
        <f t="shared" ref="L45:L52" si="48">L44+K45</f>
        <v>502.5443410981386</v>
      </c>
      <c r="M45" s="425">
        <f t="shared" si="40"/>
        <v>319.34783344787854</v>
      </c>
      <c r="N45" s="427">
        <f t="shared" ref="N45:N52" si="49">N44+M45</f>
        <v>987.07221840404782</v>
      </c>
      <c r="O45" s="425">
        <f t="shared" si="41"/>
        <v>18.003249570298788</v>
      </c>
      <c r="P45" s="427">
        <f t="shared" ref="P45:P52" si="50">P44+O45</f>
        <v>55.646244096836526</v>
      </c>
      <c r="Q45" s="425">
        <f t="shared" si="42"/>
        <v>35.361073717406086</v>
      </c>
      <c r="R45" s="428">
        <f t="shared" ref="R45:R52" si="51">R44+Q45</f>
        <v>109.29754275313047</v>
      </c>
      <c r="S45" s="395"/>
      <c r="T45" s="396"/>
      <c r="U45" s="395"/>
    </row>
    <row r="46" spans="1:21" x14ac:dyDescent="0.25">
      <c r="A46" s="382">
        <v>4</v>
      </c>
      <c r="B46" s="425">
        <f t="shared" si="36"/>
        <v>118.38957761810788</v>
      </c>
      <c r="C46" s="425">
        <f t="shared" si="43"/>
        <v>495.29783344171176</v>
      </c>
      <c r="D46" s="425">
        <f t="shared" si="37"/>
        <v>232.53483018049408</v>
      </c>
      <c r="E46" s="427">
        <f t="shared" si="44"/>
        <v>972.8389939835298</v>
      </c>
      <c r="F46" s="425">
        <f t="shared" si="38"/>
        <v>13.10916230846999</v>
      </c>
      <c r="G46" s="427">
        <f t="shared" si="45"/>
        <v>54.843845381097381</v>
      </c>
      <c r="H46" s="425">
        <f t="shared" si="46"/>
        <v>25.748354648596667</v>
      </c>
      <c r="I46" s="428">
        <f t="shared" si="47"/>
        <v>107.72151171344453</v>
      </c>
      <c r="J46" s="397"/>
      <c r="K46" s="425">
        <f t="shared" si="39"/>
        <v>157.85277015747718</v>
      </c>
      <c r="L46" s="425">
        <f t="shared" si="48"/>
        <v>660.39711125561575</v>
      </c>
      <c r="M46" s="425">
        <f t="shared" si="40"/>
        <v>310.0464402406588</v>
      </c>
      <c r="N46" s="427">
        <f t="shared" si="49"/>
        <v>1297.1186586447066</v>
      </c>
      <c r="O46" s="425">
        <f t="shared" si="41"/>
        <v>17.478883077959988</v>
      </c>
      <c r="P46" s="427">
        <f t="shared" si="50"/>
        <v>73.125127174796518</v>
      </c>
      <c r="Q46" s="425">
        <f t="shared" si="42"/>
        <v>34.33113953146222</v>
      </c>
      <c r="R46" s="428">
        <f t="shared" si="51"/>
        <v>143.62868228459268</v>
      </c>
      <c r="S46" s="395"/>
      <c r="T46" s="396"/>
      <c r="U46" s="395"/>
    </row>
    <row r="47" spans="1:21" x14ac:dyDescent="0.25">
      <c r="A47" s="382">
        <v>5</v>
      </c>
      <c r="B47" s="425">
        <f t="shared" si="36"/>
        <v>114.94133749330862</v>
      </c>
      <c r="C47" s="425">
        <f t="shared" si="43"/>
        <v>610.23917093502041</v>
      </c>
      <c r="D47" s="425">
        <f t="shared" si="37"/>
        <v>225.7619710490234</v>
      </c>
      <c r="E47" s="427">
        <f t="shared" si="44"/>
        <v>1198.6009650325532</v>
      </c>
      <c r="F47" s="425">
        <f t="shared" si="38"/>
        <v>12.727342047058244</v>
      </c>
      <c r="G47" s="427">
        <f t="shared" si="45"/>
        <v>67.571187428155625</v>
      </c>
      <c r="H47" s="425">
        <f t="shared" si="46"/>
        <v>24.998402571453077</v>
      </c>
      <c r="I47" s="428">
        <f t="shared" si="47"/>
        <v>132.71991428489761</v>
      </c>
      <c r="J47" s="397"/>
      <c r="K47" s="425">
        <f t="shared" si="39"/>
        <v>153.25511665774485</v>
      </c>
      <c r="L47" s="425">
        <f t="shared" si="48"/>
        <v>813.65222791336055</v>
      </c>
      <c r="M47" s="425">
        <f t="shared" si="40"/>
        <v>301.01596139869787</v>
      </c>
      <c r="N47" s="427">
        <f t="shared" si="49"/>
        <v>1598.1346200434045</v>
      </c>
      <c r="O47" s="425">
        <f t="shared" si="41"/>
        <v>16.969789396077662</v>
      </c>
      <c r="P47" s="427">
        <f t="shared" si="50"/>
        <v>90.094916570874176</v>
      </c>
      <c r="Q47" s="425">
        <f t="shared" si="42"/>
        <v>33.331203428604098</v>
      </c>
      <c r="R47" s="428">
        <f t="shared" si="51"/>
        <v>176.9598857131968</v>
      </c>
      <c r="S47" s="395"/>
      <c r="T47" s="396"/>
      <c r="U47" s="395"/>
    </row>
    <row r="48" spans="1:21" x14ac:dyDescent="0.25">
      <c r="A48" s="382">
        <v>6</v>
      </c>
      <c r="B48" s="425">
        <f t="shared" si="36"/>
        <v>111.59353154690157</v>
      </c>
      <c r="C48" s="425">
        <f t="shared" si="43"/>
        <v>721.83270248192196</v>
      </c>
      <c r="D48" s="425">
        <f t="shared" si="37"/>
        <v>219.186379659246</v>
      </c>
      <c r="E48" s="427">
        <f t="shared" si="44"/>
        <v>1417.7873446917993</v>
      </c>
      <c r="F48" s="425">
        <f t="shared" si="38"/>
        <v>12.356642764134218</v>
      </c>
      <c r="G48" s="427">
        <f t="shared" si="45"/>
        <v>79.927830192289846</v>
      </c>
      <c r="H48" s="425">
        <f t="shared" si="46"/>
        <v>24.270293758692304</v>
      </c>
      <c r="I48" s="428">
        <f t="shared" si="47"/>
        <v>156.99020804358992</v>
      </c>
      <c r="J48" s="397"/>
      <c r="K48" s="425">
        <f t="shared" si="39"/>
        <v>148.79137539586878</v>
      </c>
      <c r="L48" s="425">
        <f t="shared" si="48"/>
        <v>962.44360330922927</v>
      </c>
      <c r="M48" s="425">
        <f t="shared" si="40"/>
        <v>292.24850621232804</v>
      </c>
      <c r="N48" s="427">
        <f t="shared" si="49"/>
        <v>1890.3831262557326</v>
      </c>
      <c r="O48" s="425">
        <f t="shared" si="41"/>
        <v>16.47552368551229</v>
      </c>
      <c r="P48" s="427">
        <f t="shared" si="50"/>
        <v>106.57044025638646</v>
      </c>
      <c r="Q48" s="425">
        <f t="shared" si="42"/>
        <v>32.360391678256406</v>
      </c>
      <c r="R48" s="428">
        <f t="shared" si="51"/>
        <v>209.3202773914532</v>
      </c>
      <c r="S48" s="395"/>
      <c r="T48" s="396"/>
      <c r="U48" s="395"/>
    </row>
    <row r="49" spans="1:21" x14ac:dyDescent="0.25">
      <c r="A49" s="382">
        <v>7</v>
      </c>
      <c r="B49" s="425">
        <f t="shared" si="36"/>
        <v>108.34323451155493</v>
      </c>
      <c r="C49" s="425">
        <f t="shared" si="43"/>
        <v>830.17593699347685</v>
      </c>
      <c r="D49" s="425">
        <f t="shared" si="37"/>
        <v>212.80231034878253</v>
      </c>
      <c r="E49" s="427">
        <f t="shared" si="44"/>
        <v>1630.5896550405819</v>
      </c>
      <c r="F49" s="425">
        <f t="shared" si="38"/>
        <v>11.996740547703123</v>
      </c>
      <c r="G49" s="427">
        <f t="shared" si="45"/>
        <v>91.924570739992973</v>
      </c>
      <c r="H49" s="425">
        <f t="shared" si="46"/>
        <v>23.563391998730392</v>
      </c>
      <c r="I49" s="428">
        <f t="shared" si="47"/>
        <v>180.55360004232031</v>
      </c>
      <c r="J49" s="397"/>
      <c r="K49" s="425">
        <f t="shared" si="39"/>
        <v>144.45764601540657</v>
      </c>
      <c r="L49" s="425">
        <f t="shared" si="48"/>
        <v>1106.901249324636</v>
      </c>
      <c r="M49" s="425">
        <f t="shared" si="40"/>
        <v>283.7364137983767</v>
      </c>
      <c r="N49" s="427">
        <f t="shared" si="49"/>
        <v>2174.1195400541092</v>
      </c>
      <c r="O49" s="425">
        <f t="shared" si="41"/>
        <v>15.995654063604166</v>
      </c>
      <c r="P49" s="427">
        <f t="shared" si="50"/>
        <v>122.56609431999063</v>
      </c>
      <c r="Q49" s="425">
        <f t="shared" si="42"/>
        <v>31.417855998307189</v>
      </c>
      <c r="R49" s="428">
        <f t="shared" si="51"/>
        <v>240.73813338976038</v>
      </c>
      <c r="S49" s="395"/>
      <c r="T49" s="396"/>
      <c r="U49" s="395"/>
    </row>
    <row r="50" spans="1:21" x14ac:dyDescent="0.25">
      <c r="A50" s="382">
        <v>8</v>
      </c>
      <c r="B50" s="425">
        <f t="shared" si="36"/>
        <v>105.18760632189799</v>
      </c>
      <c r="C50" s="425">
        <f t="shared" si="43"/>
        <v>935.36354331537484</v>
      </c>
      <c r="D50" s="425">
        <f t="shared" si="37"/>
        <v>206.60418480464324</v>
      </c>
      <c r="E50" s="427">
        <f t="shared" si="44"/>
        <v>1837.1938398452251</v>
      </c>
      <c r="F50" s="425">
        <f t="shared" si="38"/>
        <v>11.647320920100121</v>
      </c>
      <c r="G50" s="427">
        <f t="shared" si="45"/>
        <v>103.57189166009309</v>
      </c>
      <c r="H50" s="425">
        <f t="shared" si="46"/>
        <v>22.877079610417859</v>
      </c>
      <c r="I50" s="428">
        <f t="shared" si="47"/>
        <v>203.43067965273818</v>
      </c>
      <c r="J50" s="397"/>
      <c r="K50" s="425">
        <f t="shared" si="39"/>
        <v>140.25014176253066</v>
      </c>
      <c r="L50" s="425">
        <f t="shared" si="48"/>
        <v>1247.1513910871665</v>
      </c>
      <c r="M50" s="425">
        <f t="shared" si="40"/>
        <v>275.472246406191</v>
      </c>
      <c r="N50" s="427">
        <f t="shared" si="49"/>
        <v>2449.5917864603002</v>
      </c>
      <c r="O50" s="425">
        <f t="shared" si="41"/>
        <v>15.529761226800161</v>
      </c>
      <c r="P50" s="427">
        <f t="shared" si="50"/>
        <v>138.0958555467908</v>
      </c>
      <c r="Q50" s="425">
        <f t="shared" si="42"/>
        <v>30.502772813890481</v>
      </c>
      <c r="R50" s="428">
        <f t="shared" si="51"/>
        <v>271.24090620365087</v>
      </c>
      <c r="S50" s="395"/>
      <c r="T50" s="396"/>
      <c r="U50" s="395"/>
    </row>
    <row r="51" spans="1:21" x14ac:dyDescent="0.25">
      <c r="A51" s="382">
        <v>9</v>
      </c>
      <c r="B51" s="425">
        <f t="shared" si="36"/>
        <v>102.12388963291068</v>
      </c>
      <c r="C51" s="425">
        <f t="shared" si="43"/>
        <v>1037.4874329482855</v>
      </c>
      <c r="D51" s="425">
        <f t="shared" si="37"/>
        <v>200.58658718897402</v>
      </c>
      <c r="E51" s="427">
        <f t="shared" si="44"/>
        <v>2037.780427034199</v>
      </c>
      <c r="F51" s="425">
        <f t="shared" si="38"/>
        <v>11.308078563204001</v>
      </c>
      <c r="G51" s="427">
        <f t="shared" si="45"/>
        <v>114.87997022329709</v>
      </c>
      <c r="H51" s="425">
        <f t="shared" si="46"/>
        <v>22.210756903318309</v>
      </c>
      <c r="I51" s="428">
        <f t="shared" si="47"/>
        <v>225.64143655605648</v>
      </c>
      <c r="J51" s="397"/>
      <c r="K51" s="425">
        <f t="shared" si="39"/>
        <v>136.16518617721425</v>
      </c>
      <c r="L51" s="425">
        <f t="shared" si="48"/>
        <v>1383.3165772643808</v>
      </c>
      <c r="M51" s="425">
        <f t="shared" si="40"/>
        <v>267.44878291863205</v>
      </c>
      <c r="N51" s="427">
        <f t="shared" si="49"/>
        <v>2717.0405693789321</v>
      </c>
      <c r="O51" s="425">
        <f t="shared" si="41"/>
        <v>15.077438084272002</v>
      </c>
      <c r="P51" s="427">
        <f t="shared" si="50"/>
        <v>153.17329363106279</v>
      </c>
      <c r="Q51" s="425">
        <f t="shared" si="42"/>
        <v>29.614342537757746</v>
      </c>
      <c r="R51" s="428">
        <f t="shared" si="51"/>
        <v>300.85524874140862</v>
      </c>
      <c r="S51" s="395"/>
      <c r="T51" s="396"/>
      <c r="U51" s="395"/>
    </row>
    <row r="52" spans="1:21" x14ac:dyDescent="0.25">
      <c r="A52" s="382">
        <v>10</v>
      </c>
      <c r="B52" s="425">
        <f t="shared" si="36"/>
        <v>99.149407410592886</v>
      </c>
      <c r="C52" s="425">
        <f t="shared" si="43"/>
        <v>1136.6368403588783</v>
      </c>
      <c r="D52" s="425">
        <f t="shared" si="37"/>
        <v>194.74425940677091</v>
      </c>
      <c r="E52" s="427">
        <f t="shared" si="44"/>
        <v>2232.5246864409701</v>
      </c>
      <c r="F52" s="425">
        <f t="shared" si="38"/>
        <v>10.978717051654369</v>
      </c>
      <c r="G52" s="427">
        <f t="shared" si="45"/>
        <v>125.85868727495146</v>
      </c>
      <c r="H52" s="425">
        <f t="shared" si="46"/>
        <v>21.563841653707097</v>
      </c>
      <c r="I52" s="428">
        <f t="shared" si="47"/>
        <v>247.20527820976358</v>
      </c>
      <c r="J52" s="397"/>
      <c r="K52" s="425">
        <f t="shared" si="39"/>
        <v>132.19920988079053</v>
      </c>
      <c r="L52" s="425">
        <f t="shared" si="48"/>
        <v>1515.5157871451713</v>
      </c>
      <c r="M52" s="425">
        <f t="shared" si="40"/>
        <v>259.65901254236121</v>
      </c>
      <c r="N52" s="427">
        <f t="shared" si="49"/>
        <v>2976.6995819212934</v>
      </c>
      <c r="O52" s="425">
        <f t="shared" si="41"/>
        <v>14.638289402205826</v>
      </c>
      <c r="P52" s="427">
        <f t="shared" si="50"/>
        <v>167.81158303326862</v>
      </c>
      <c r="Q52" s="425">
        <f t="shared" si="42"/>
        <v>28.751788871609463</v>
      </c>
      <c r="R52" s="428">
        <f t="shared" si="51"/>
        <v>329.60703761301806</v>
      </c>
      <c r="S52" s="395"/>
      <c r="T52" s="396"/>
      <c r="U52" s="395"/>
    </row>
    <row r="54" spans="1:21" s="401" customFormat="1" ht="18.75" x14ac:dyDescent="0.3">
      <c r="B54" s="941" t="s">
        <v>228</v>
      </c>
      <c r="C54" s="941"/>
      <c r="D54" s="941"/>
      <c r="E54" s="941"/>
      <c r="F54" s="941"/>
      <c r="G54" s="941"/>
      <c r="H54" s="941"/>
      <c r="I54" s="941"/>
      <c r="J54" s="426"/>
      <c r="K54" s="941" t="s">
        <v>229</v>
      </c>
      <c r="L54" s="941"/>
      <c r="M54" s="941"/>
      <c r="N54" s="941"/>
      <c r="O54" s="941"/>
      <c r="P54" s="941"/>
      <c r="Q54" s="941"/>
      <c r="R54" s="941"/>
      <c r="S54" s="419"/>
      <c r="T54" s="419"/>
      <c r="U54" s="419"/>
    </row>
    <row r="55" spans="1:21" ht="15" customHeight="1" x14ac:dyDescent="0.25">
      <c r="A55" s="382" t="s">
        <v>224</v>
      </c>
      <c r="B55" s="382" t="s">
        <v>90</v>
      </c>
      <c r="C55" s="382" t="s">
        <v>89</v>
      </c>
      <c r="D55" s="382" t="s">
        <v>91</v>
      </c>
      <c r="E55" s="382" t="s">
        <v>89</v>
      </c>
      <c r="F55" s="382" t="s">
        <v>92</v>
      </c>
      <c r="G55" s="382" t="s">
        <v>89</v>
      </c>
      <c r="H55" s="382" t="s">
        <v>66</v>
      </c>
      <c r="I55" s="382" t="s">
        <v>89</v>
      </c>
      <c r="K55" s="381" t="s">
        <v>90</v>
      </c>
      <c r="L55" s="381" t="s">
        <v>89</v>
      </c>
      <c r="M55" s="381" t="s">
        <v>91</v>
      </c>
      <c r="N55" s="381" t="s">
        <v>89</v>
      </c>
      <c r="O55" s="381" t="s">
        <v>92</v>
      </c>
      <c r="P55" s="381" t="s">
        <v>89</v>
      </c>
      <c r="Q55" s="381" t="s">
        <v>66</v>
      </c>
      <c r="R55" s="381" t="s">
        <v>89</v>
      </c>
    </row>
    <row r="56" spans="1:21" ht="15" customHeight="1" x14ac:dyDescent="0.25">
      <c r="A56" s="382">
        <v>1</v>
      </c>
      <c r="B56" s="425">
        <f t="shared" ref="B56:B65" si="52">$I$11/(1+$D$8)^A56</f>
        <v>163.04563106796121</v>
      </c>
      <c r="C56" s="425">
        <f>B56</f>
        <v>163.04563106796121</v>
      </c>
      <c r="D56" s="425">
        <f t="shared" ref="D56:D65" si="53">$K$11/(1+$D$8)^A56</f>
        <v>296.44660194174753</v>
      </c>
      <c r="E56" s="427">
        <f>D56</f>
        <v>296.44660194174753</v>
      </c>
      <c r="F56" s="425">
        <f t="shared" ref="F56:F65" si="54">$M$11/(1+$D$8)^A56</f>
        <v>18.05388349514563</v>
      </c>
      <c r="G56" s="425">
        <f>F56</f>
        <v>18.05388349514563</v>
      </c>
      <c r="H56" s="425">
        <f t="shared" ref="H56:H65" si="55">$O$11/(1+$D$8)^A56</f>
        <v>32.825242718446603</v>
      </c>
      <c r="I56" s="425">
        <f>H56</f>
        <v>32.825242718446603</v>
      </c>
      <c r="J56" s="397"/>
      <c r="K56" s="425">
        <f>$J$11/(1+$D$8)^A56</f>
        <v>217.3941747572816</v>
      </c>
      <c r="L56" s="425">
        <f>K56</f>
        <v>217.3941747572816</v>
      </c>
      <c r="M56" s="425">
        <f>$L$11/(1+$D$8)^A56</f>
        <v>395.26213592233017</v>
      </c>
      <c r="N56" s="427">
        <f>M56</f>
        <v>395.26213592233017</v>
      </c>
      <c r="O56" s="425">
        <f t="shared" ref="O56:O65" si="56">$N$11/(1+$D$8)^A56</f>
        <v>24.071844660194177</v>
      </c>
      <c r="P56" s="425">
        <f>O56</f>
        <v>24.071844660194177</v>
      </c>
      <c r="Q56" s="425">
        <f t="shared" ref="Q56:Q65" si="57">$P$11/(1+$D$8)^A56</f>
        <v>43.76699029126214</v>
      </c>
      <c r="R56" s="425">
        <f>Q56</f>
        <v>43.76699029126214</v>
      </c>
      <c r="S56" s="395"/>
      <c r="T56" s="396"/>
      <c r="U56" s="395"/>
    </row>
    <row r="57" spans="1:21" ht="15" customHeight="1" x14ac:dyDescent="0.25">
      <c r="A57" s="382">
        <v>2</v>
      </c>
      <c r="B57" s="425">
        <f t="shared" si="52"/>
        <v>158.29672919219536</v>
      </c>
      <c r="C57" s="425">
        <f>C56+B57</f>
        <v>321.34236026015657</v>
      </c>
      <c r="D57" s="425">
        <f t="shared" si="53"/>
        <v>287.81223489490054</v>
      </c>
      <c r="E57" s="427">
        <f>E56+D57</f>
        <v>584.25883683664802</v>
      </c>
      <c r="F57" s="425">
        <f t="shared" si="54"/>
        <v>17.52804222829673</v>
      </c>
      <c r="G57" s="425">
        <f>G56+F57</f>
        <v>35.58192572344236</v>
      </c>
      <c r="H57" s="425">
        <f t="shared" si="55"/>
        <v>31.86916768781224</v>
      </c>
      <c r="I57" s="425">
        <f>I56+H57</f>
        <v>64.694410406258839</v>
      </c>
      <c r="J57" s="397"/>
      <c r="K57" s="425">
        <f t="shared" ref="K57:K65" si="58">$J$11/(1+$D$8)^A57</f>
        <v>211.06230558959379</v>
      </c>
      <c r="L57" s="425">
        <f>L56+K57</f>
        <v>428.45648034687542</v>
      </c>
      <c r="M57" s="425">
        <f t="shared" ref="M57:M65" si="59">$L$11/(1+$D$8)^A57</f>
        <v>383.74964652653415</v>
      </c>
      <c r="N57" s="427">
        <f>N56+M57</f>
        <v>779.01178244886432</v>
      </c>
      <c r="O57" s="425">
        <f t="shared" si="56"/>
        <v>23.37072297106231</v>
      </c>
      <c r="P57" s="425">
        <f>P56+O57</f>
        <v>47.442567631256487</v>
      </c>
      <c r="Q57" s="425">
        <f t="shared" si="57"/>
        <v>42.492223583749656</v>
      </c>
      <c r="R57" s="425">
        <f>R56+Q57</f>
        <v>86.259213875011795</v>
      </c>
      <c r="S57" s="395"/>
      <c r="T57" s="396"/>
      <c r="U57" s="395"/>
    </row>
    <row r="58" spans="1:21" ht="15" customHeight="1" x14ac:dyDescent="0.25">
      <c r="A58" s="382">
        <v>3</v>
      </c>
      <c r="B58" s="425">
        <f t="shared" si="52"/>
        <v>153.68614484679159</v>
      </c>
      <c r="C58" s="425">
        <f t="shared" ref="C58:C65" si="60">C57+B58</f>
        <v>475.02850510694816</v>
      </c>
      <c r="D58" s="425">
        <f t="shared" si="53"/>
        <v>279.42935426689371</v>
      </c>
      <c r="E58" s="427">
        <f t="shared" ref="E58:E65" si="61">E57+D58</f>
        <v>863.68819110354173</v>
      </c>
      <c r="F58" s="425">
        <f t="shared" si="54"/>
        <v>17.017516726501679</v>
      </c>
      <c r="G58" s="427">
        <f t="shared" ref="G58:G65" si="62">G57+F58</f>
        <v>52.599442449944036</v>
      </c>
      <c r="H58" s="425">
        <f t="shared" si="55"/>
        <v>30.940939502730327</v>
      </c>
      <c r="I58" s="428">
        <f t="shared" ref="I58:I65" si="63">I57+H58</f>
        <v>95.63534990898917</v>
      </c>
      <c r="J58" s="397"/>
      <c r="K58" s="425">
        <f t="shared" si="58"/>
        <v>204.91485979572212</v>
      </c>
      <c r="L58" s="425">
        <f t="shared" ref="L58:L65" si="64">L57+K58</f>
        <v>633.37134014259755</v>
      </c>
      <c r="M58" s="425">
        <f t="shared" si="59"/>
        <v>372.57247235585839</v>
      </c>
      <c r="N58" s="427">
        <f t="shared" ref="N58:N65" si="65">N57+M58</f>
        <v>1151.5842548047226</v>
      </c>
      <c r="O58" s="425">
        <f t="shared" si="56"/>
        <v>22.690022302002241</v>
      </c>
      <c r="P58" s="427">
        <f t="shared" ref="P58:P65" si="66">P57+O58</f>
        <v>70.132589933258728</v>
      </c>
      <c r="Q58" s="425">
        <f t="shared" si="57"/>
        <v>41.254586003640441</v>
      </c>
      <c r="R58" s="428">
        <f t="shared" ref="R58:R65" si="67">R57+Q58</f>
        <v>127.51379987865224</v>
      </c>
      <c r="S58" s="395"/>
      <c r="T58" s="396"/>
      <c r="U58" s="395"/>
    </row>
    <row r="59" spans="1:21" x14ac:dyDescent="0.25">
      <c r="A59" s="382">
        <v>4</v>
      </c>
      <c r="B59" s="425">
        <f t="shared" si="52"/>
        <v>149.20984936581709</v>
      </c>
      <c r="C59" s="425">
        <f t="shared" si="60"/>
        <v>624.2383544727652</v>
      </c>
      <c r="D59" s="425">
        <f t="shared" si="53"/>
        <v>271.29063521057645</v>
      </c>
      <c r="E59" s="427">
        <f t="shared" si="61"/>
        <v>1134.9788263141181</v>
      </c>
      <c r="F59" s="425">
        <f t="shared" si="54"/>
        <v>16.521860899516195</v>
      </c>
      <c r="G59" s="427">
        <f t="shared" si="62"/>
        <v>69.121303349460234</v>
      </c>
      <c r="H59" s="425">
        <f t="shared" si="55"/>
        <v>30.039747090029447</v>
      </c>
      <c r="I59" s="428">
        <f t="shared" si="63"/>
        <v>125.67509699901862</v>
      </c>
      <c r="J59" s="397"/>
      <c r="K59" s="425">
        <f t="shared" si="58"/>
        <v>198.94646582108945</v>
      </c>
      <c r="L59" s="425">
        <f t="shared" si="64"/>
        <v>832.31780596368696</v>
      </c>
      <c r="M59" s="425">
        <f t="shared" si="59"/>
        <v>361.72084694743535</v>
      </c>
      <c r="N59" s="427">
        <f t="shared" si="65"/>
        <v>1513.305101752158</v>
      </c>
      <c r="O59" s="425">
        <f t="shared" si="56"/>
        <v>22.029147866021596</v>
      </c>
      <c r="P59" s="427">
        <f t="shared" si="66"/>
        <v>92.161737799280331</v>
      </c>
      <c r="Q59" s="425">
        <f t="shared" si="57"/>
        <v>40.052996120039261</v>
      </c>
      <c r="R59" s="428">
        <f t="shared" si="67"/>
        <v>167.5667959986915</v>
      </c>
      <c r="S59" s="395"/>
      <c r="T59" s="396"/>
      <c r="U59" s="395"/>
    </row>
    <row r="60" spans="1:21" x14ac:dyDescent="0.25">
      <c r="A60" s="382">
        <v>5</v>
      </c>
      <c r="B60" s="425">
        <f t="shared" si="52"/>
        <v>144.8639314231234</v>
      </c>
      <c r="C60" s="425">
        <f t="shared" si="60"/>
        <v>769.1022858958886</v>
      </c>
      <c r="D60" s="425">
        <f t="shared" si="53"/>
        <v>263.38896622386062</v>
      </c>
      <c r="E60" s="427">
        <f t="shared" si="61"/>
        <v>1398.3677925379789</v>
      </c>
      <c r="F60" s="425">
        <f t="shared" si="54"/>
        <v>16.040641650015726</v>
      </c>
      <c r="G60" s="427">
        <f t="shared" si="62"/>
        <v>85.161944999475963</v>
      </c>
      <c r="H60" s="425">
        <f t="shared" si="55"/>
        <v>29.164803000028591</v>
      </c>
      <c r="I60" s="428">
        <f t="shared" si="63"/>
        <v>154.83989999904722</v>
      </c>
      <c r="J60" s="397"/>
      <c r="K60" s="425">
        <f t="shared" si="58"/>
        <v>193.15190856416453</v>
      </c>
      <c r="L60" s="425">
        <f t="shared" si="64"/>
        <v>1025.4697145278515</v>
      </c>
      <c r="M60" s="425">
        <f t="shared" si="59"/>
        <v>351.18528829848094</v>
      </c>
      <c r="N60" s="427">
        <f t="shared" si="65"/>
        <v>1864.4903900506388</v>
      </c>
      <c r="O60" s="425">
        <f t="shared" si="56"/>
        <v>21.387522200020967</v>
      </c>
      <c r="P60" s="427">
        <f t="shared" si="66"/>
        <v>113.5492599993013</v>
      </c>
      <c r="Q60" s="425">
        <f t="shared" si="57"/>
        <v>38.886404000038119</v>
      </c>
      <c r="R60" s="428">
        <f t="shared" si="67"/>
        <v>206.45319999872962</v>
      </c>
      <c r="S60" s="395"/>
      <c r="T60" s="396"/>
      <c r="U60" s="395"/>
    </row>
    <row r="61" spans="1:21" x14ac:dyDescent="0.25">
      <c r="A61" s="382">
        <v>6</v>
      </c>
      <c r="B61" s="425">
        <f t="shared" si="52"/>
        <v>140.64459361468292</v>
      </c>
      <c r="C61" s="425">
        <f t="shared" si="60"/>
        <v>909.74687951057149</v>
      </c>
      <c r="D61" s="425">
        <f t="shared" si="53"/>
        <v>255.71744293578701</v>
      </c>
      <c r="E61" s="427">
        <f t="shared" si="61"/>
        <v>1654.0852354737658</v>
      </c>
      <c r="F61" s="425">
        <f t="shared" si="54"/>
        <v>15.573438495160897</v>
      </c>
      <c r="G61" s="427">
        <f t="shared" si="62"/>
        <v>100.73538349463686</v>
      </c>
      <c r="H61" s="425">
        <f t="shared" si="55"/>
        <v>28.315342718474358</v>
      </c>
      <c r="I61" s="428">
        <f t="shared" si="63"/>
        <v>183.15524271752159</v>
      </c>
      <c r="J61" s="397"/>
      <c r="K61" s="425">
        <f t="shared" si="58"/>
        <v>187.52612481957721</v>
      </c>
      <c r="L61" s="425">
        <f t="shared" si="64"/>
        <v>1212.9958393474287</v>
      </c>
      <c r="M61" s="425">
        <f t="shared" si="59"/>
        <v>340.95659058104945</v>
      </c>
      <c r="N61" s="427">
        <f t="shared" si="65"/>
        <v>2205.4469806316883</v>
      </c>
      <c r="O61" s="425">
        <f t="shared" si="56"/>
        <v>20.764584660214531</v>
      </c>
      <c r="P61" s="427">
        <f t="shared" si="66"/>
        <v>134.31384465951584</v>
      </c>
      <c r="Q61" s="425">
        <f t="shared" si="57"/>
        <v>37.753790291299147</v>
      </c>
      <c r="R61" s="428">
        <f t="shared" si="67"/>
        <v>244.20699029002876</v>
      </c>
      <c r="S61" s="395"/>
      <c r="T61" s="396"/>
      <c r="U61" s="395"/>
    </row>
    <row r="62" spans="1:21" x14ac:dyDescent="0.25">
      <c r="A62" s="382">
        <v>7</v>
      </c>
      <c r="B62" s="425">
        <f t="shared" si="52"/>
        <v>136.54814914046884</v>
      </c>
      <c r="C62" s="425">
        <f t="shared" si="60"/>
        <v>1046.2950286510404</v>
      </c>
      <c r="D62" s="425">
        <f t="shared" si="53"/>
        <v>248.26936207357963</v>
      </c>
      <c r="E62" s="427">
        <f t="shared" si="61"/>
        <v>1902.3545975473455</v>
      </c>
      <c r="F62" s="425">
        <f t="shared" si="54"/>
        <v>15.119843199185336</v>
      </c>
      <c r="G62" s="427">
        <f t="shared" si="62"/>
        <v>115.8552266938222</v>
      </c>
      <c r="H62" s="425">
        <f t="shared" si="55"/>
        <v>27.490623998518792</v>
      </c>
      <c r="I62" s="428">
        <f t="shared" si="63"/>
        <v>210.64586671604039</v>
      </c>
      <c r="J62" s="397"/>
      <c r="K62" s="425">
        <f t="shared" si="58"/>
        <v>182.06419885395843</v>
      </c>
      <c r="L62" s="425">
        <f t="shared" si="64"/>
        <v>1395.0600382013872</v>
      </c>
      <c r="M62" s="425">
        <f t="shared" si="59"/>
        <v>331.02581609810625</v>
      </c>
      <c r="N62" s="427">
        <f t="shared" si="65"/>
        <v>2536.4727967297945</v>
      </c>
      <c r="O62" s="425">
        <f t="shared" si="56"/>
        <v>20.159790932247116</v>
      </c>
      <c r="P62" s="427">
        <f t="shared" si="66"/>
        <v>154.47363559176296</v>
      </c>
      <c r="Q62" s="425">
        <f t="shared" si="57"/>
        <v>36.654165331358392</v>
      </c>
      <c r="R62" s="428">
        <f t="shared" si="67"/>
        <v>280.86115562138713</v>
      </c>
      <c r="S62" s="395"/>
      <c r="T62" s="396"/>
      <c r="U62" s="395"/>
    </row>
    <row r="63" spans="1:21" x14ac:dyDescent="0.25">
      <c r="A63" s="382">
        <v>8</v>
      </c>
      <c r="B63" s="425">
        <f t="shared" si="52"/>
        <v>132.57101858297946</v>
      </c>
      <c r="C63" s="425">
        <f t="shared" si="60"/>
        <v>1178.8660472340198</v>
      </c>
      <c r="D63" s="425">
        <f t="shared" si="53"/>
        <v>241.03821560541712</v>
      </c>
      <c r="E63" s="427">
        <f t="shared" si="61"/>
        <v>2143.3928131527628</v>
      </c>
      <c r="F63" s="425">
        <f t="shared" si="54"/>
        <v>14.679459416684793</v>
      </c>
      <c r="G63" s="427">
        <f t="shared" si="62"/>
        <v>130.53468611050698</v>
      </c>
      <c r="H63" s="425">
        <f t="shared" si="55"/>
        <v>26.68992621215417</v>
      </c>
      <c r="I63" s="428">
        <f t="shared" si="63"/>
        <v>237.33579292819456</v>
      </c>
      <c r="J63" s="397"/>
      <c r="K63" s="425">
        <f t="shared" si="58"/>
        <v>176.76135811063929</v>
      </c>
      <c r="L63" s="425">
        <f t="shared" si="64"/>
        <v>1571.8213963120265</v>
      </c>
      <c r="M63" s="425">
        <f t="shared" si="59"/>
        <v>321.38428747388957</v>
      </c>
      <c r="N63" s="427">
        <f t="shared" si="65"/>
        <v>2857.8570842036843</v>
      </c>
      <c r="O63" s="425">
        <f t="shared" si="56"/>
        <v>19.572612555579727</v>
      </c>
      <c r="P63" s="427">
        <f t="shared" si="66"/>
        <v>174.04624814734268</v>
      </c>
      <c r="Q63" s="425">
        <f t="shared" si="57"/>
        <v>35.586568282872229</v>
      </c>
      <c r="R63" s="428">
        <f t="shared" si="67"/>
        <v>316.44772390425936</v>
      </c>
      <c r="S63" s="395"/>
      <c r="T63" s="396"/>
      <c r="U63" s="395"/>
    </row>
    <row r="64" spans="1:21" x14ac:dyDescent="0.25">
      <c r="A64" s="382">
        <v>9</v>
      </c>
      <c r="B64" s="425">
        <f t="shared" si="52"/>
        <v>128.7097267795917</v>
      </c>
      <c r="C64" s="425">
        <f t="shared" si="60"/>
        <v>1307.5757740136114</v>
      </c>
      <c r="D64" s="425">
        <f t="shared" si="53"/>
        <v>234.01768505380304</v>
      </c>
      <c r="E64" s="427">
        <f t="shared" si="61"/>
        <v>2377.410498206566</v>
      </c>
      <c r="F64" s="425">
        <f t="shared" si="54"/>
        <v>14.251902346295916</v>
      </c>
      <c r="G64" s="427">
        <f t="shared" si="62"/>
        <v>144.78658845680289</v>
      </c>
      <c r="H64" s="425">
        <f t="shared" si="55"/>
        <v>25.912549720538028</v>
      </c>
      <c r="I64" s="428">
        <f t="shared" si="63"/>
        <v>263.2483426487326</v>
      </c>
      <c r="J64" s="397"/>
      <c r="K64" s="425">
        <f t="shared" si="58"/>
        <v>171.61296903945561</v>
      </c>
      <c r="L64" s="425">
        <f t="shared" si="64"/>
        <v>1743.434365351482</v>
      </c>
      <c r="M64" s="425">
        <f t="shared" si="59"/>
        <v>312.02358007173746</v>
      </c>
      <c r="N64" s="427">
        <f t="shared" si="65"/>
        <v>3169.8806642754216</v>
      </c>
      <c r="O64" s="425">
        <f t="shared" si="56"/>
        <v>19.002536461727889</v>
      </c>
      <c r="P64" s="427">
        <f t="shared" si="66"/>
        <v>193.04878460907057</v>
      </c>
      <c r="Q64" s="425">
        <f t="shared" si="57"/>
        <v>34.550066294050708</v>
      </c>
      <c r="R64" s="428">
        <f t="shared" si="67"/>
        <v>350.9977901983101</v>
      </c>
      <c r="S64" s="395"/>
      <c r="T64" s="396"/>
      <c r="U64" s="395"/>
    </row>
    <row r="65" spans="1:21" x14ac:dyDescent="0.25">
      <c r="A65" s="382">
        <v>10</v>
      </c>
      <c r="B65" s="425">
        <f t="shared" si="52"/>
        <v>124.96089978601137</v>
      </c>
      <c r="C65" s="425">
        <f t="shared" si="60"/>
        <v>1432.5366737996228</v>
      </c>
      <c r="D65" s="425">
        <f t="shared" si="53"/>
        <v>227.20163597456605</v>
      </c>
      <c r="E65" s="427">
        <f t="shared" si="61"/>
        <v>2604.6121341811322</v>
      </c>
      <c r="F65" s="425">
        <f t="shared" si="54"/>
        <v>13.836798394462054</v>
      </c>
      <c r="G65" s="427">
        <f t="shared" si="62"/>
        <v>158.62338685126494</v>
      </c>
      <c r="H65" s="425">
        <f t="shared" si="55"/>
        <v>25.157815262658282</v>
      </c>
      <c r="I65" s="428">
        <f t="shared" si="63"/>
        <v>288.40615791139089</v>
      </c>
      <c r="J65" s="397"/>
      <c r="K65" s="425">
        <f t="shared" si="58"/>
        <v>166.61453304801515</v>
      </c>
      <c r="L65" s="425">
        <f t="shared" si="64"/>
        <v>1910.0488983994971</v>
      </c>
      <c r="M65" s="425">
        <f t="shared" si="59"/>
        <v>302.9355146327548</v>
      </c>
      <c r="N65" s="427">
        <f t="shared" si="65"/>
        <v>3472.8161789081764</v>
      </c>
      <c r="O65" s="425">
        <f t="shared" si="56"/>
        <v>18.449064525949407</v>
      </c>
      <c r="P65" s="427">
        <f t="shared" si="66"/>
        <v>211.49784913501998</v>
      </c>
      <c r="Q65" s="425">
        <f t="shared" si="57"/>
        <v>33.543753683544374</v>
      </c>
      <c r="R65" s="428">
        <f t="shared" si="67"/>
        <v>384.54154388185447</v>
      </c>
      <c r="S65" s="395"/>
      <c r="T65" s="396"/>
      <c r="U65" s="395"/>
    </row>
    <row r="67" spans="1:21" s="401" customFormat="1" ht="18.75" x14ac:dyDescent="0.3">
      <c r="B67" s="941" t="s">
        <v>230</v>
      </c>
      <c r="C67" s="941"/>
      <c r="D67" s="941"/>
      <c r="E67" s="941"/>
      <c r="F67" s="941"/>
      <c r="G67" s="941"/>
      <c r="H67" s="941"/>
      <c r="I67" s="941"/>
      <c r="J67" s="426"/>
      <c r="K67" s="941" t="s">
        <v>231</v>
      </c>
      <c r="L67" s="941"/>
      <c r="M67" s="941"/>
      <c r="N67" s="941"/>
      <c r="O67" s="941"/>
      <c r="P67" s="941"/>
      <c r="Q67" s="941"/>
      <c r="R67" s="941"/>
      <c r="S67" s="419"/>
      <c r="T67" s="419"/>
      <c r="U67" s="419"/>
    </row>
    <row r="68" spans="1:21" ht="15" customHeight="1" x14ac:dyDescent="0.25">
      <c r="A68" s="382" t="s">
        <v>224</v>
      </c>
      <c r="B68" s="382" t="s">
        <v>90</v>
      </c>
      <c r="C68" s="382" t="s">
        <v>89</v>
      </c>
      <c r="D68" s="382" t="s">
        <v>91</v>
      </c>
      <c r="E68" s="382" t="s">
        <v>89</v>
      </c>
      <c r="F68" s="382" t="s">
        <v>92</v>
      </c>
      <c r="G68" s="382" t="s">
        <v>89</v>
      </c>
      <c r="H68" s="382" t="s">
        <v>66</v>
      </c>
      <c r="I68" s="382" t="s">
        <v>89</v>
      </c>
      <c r="K68" s="381" t="s">
        <v>90</v>
      </c>
      <c r="L68" s="381" t="s">
        <v>89</v>
      </c>
      <c r="M68" s="381" t="s">
        <v>91</v>
      </c>
      <c r="N68" s="381" t="s">
        <v>89</v>
      </c>
      <c r="O68" s="381" t="s">
        <v>92</v>
      </c>
      <c r="P68" s="381" t="s">
        <v>89</v>
      </c>
      <c r="Q68" s="381" t="s">
        <v>66</v>
      </c>
      <c r="R68" s="381" t="s">
        <v>89</v>
      </c>
    </row>
    <row r="69" spans="1:21" ht="15" customHeight="1" x14ac:dyDescent="0.25">
      <c r="A69" s="382">
        <v>1</v>
      </c>
      <c r="B69" s="425">
        <f t="shared" ref="B69:B78" si="68">$I$12/(1+$D$8)^A69</f>
        <v>19.538339146008109</v>
      </c>
      <c r="C69" s="425">
        <f>B69</f>
        <v>19.538339146008109</v>
      </c>
      <c r="D69" s="425">
        <f t="shared" ref="D69:D78" si="69">$K$12/(1+$D$8)^A69</f>
        <v>241.81709868979169</v>
      </c>
      <c r="E69" s="427">
        <f>D69</f>
        <v>241.81709868979169</v>
      </c>
      <c r="F69" s="425">
        <f t="shared" ref="F69:F78" si="70">$M$12/(1+$D$8)^A69</f>
        <v>2.1634612121783396</v>
      </c>
      <c r="G69" s="425">
        <f>F69</f>
        <v>2.1634612121783396</v>
      </c>
      <c r="H69" s="425">
        <f t="shared" ref="H69:H78" si="71">$O$12/(1+$D$8)^A69</f>
        <v>26.776171175417101</v>
      </c>
      <c r="I69" s="425">
        <f>H69</f>
        <v>26.776171175417101</v>
      </c>
      <c r="J69" s="397"/>
      <c r="K69" s="425">
        <f t="shared" ref="K69:K78" si="72">$J$12/(1+$D$8)^A69</f>
        <v>28.419402394193614</v>
      </c>
      <c r="L69" s="425">
        <f>K69</f>
        <v>28.419402394193614</v>
      </c>
      <c r="M69" s="425">
        <f t="shared" ref="M69:M78" si="73">$L$12/(1+$D$8)^A69</f>
        <v>351.7339617306061</v>
      </c>
      <c r="N69" s="427">
        <f>M69</f>
        <v>351.7339617306061</v>
      </c>
      <c r="O69" s="425">
        <f t="shared" ref="O69:O78" si="74">$N$12/(1+$D$8)^A69</f>
        <v>3.1468526722594024</v>
      </c>
      <c r="P69" s="425">
        <f>O69</f>
        <v>3.1468526722594024</v>
      </c>
      <c r="Q69" s="425">
        <f t="shared" ref="Q69:Q78" si="75">$P$12/(1+$D$8)^A69</f>
        <v>38.947158073333966</v>
      </c>
      <c r="R69" s="425">
        <f>Q69</f>
        <v>38.947158073333966</v>
      </c>
      <c r="S69" s="395"/>
      <c r="T69" s="396"/>
      <c r="U69" s="395"/>
    </row>
    <row r="70" spans="1:21" ht="15" customHeight="1" x14ac:dyDescent="0.25">
      <c r="A70" s="382">
        <v>2</v>
      </c>
      <c r="B70" s="425">
        <f t="shared" si="68"/>
        <v>18.96926130680399</v>
      </c>
      <c r="C70" s="425">
        <f>C69+B70</f>
        <v>38.507600452812099</v>
      </c>
      <c r="D70" s="425">
        <f t="shared" si="69"/>
        <v>234.77388222309872</v>
      </c>
      <c r="E70" s="427">
        <f>E69+D70</f>
        <v>476.59098091289042</v>
      </c>
      <c r="F70" s="425">
        <f t="shared" si="70"/>
        <v>2.1004477788139218</v>
      </c>
      <c r="G70" s="425">
        <f>G69+F70</f>
        <v>4.2639089909922614</v>
      </c>
      <c r="H70" s="425">
        <f t="shared" si="71"/>
        <v>25.996282694579712</v>
      </c>
      <c r="I70" s="425">
        <f>I69+H70</f>
        <v>52.772453869996809</v>
      </c>
      <c r="J70" s="397"/>
      <c r="K70" s="425">
        <f t="shared" si="72"/>
        <v>27.591652809896715</v>
      </c>
      <c r="L70" s="425">
        <f>L69+K70</f>
        <v>56.011055204090326</v>
      </c>
      <c r="M70" s="425">
        <f t="shared" si="73"/>
        <v>341.4892832335982</v>
      </c>
      <c r="N70" s="427">
        <f>N69+M70</f>
        <v>693.22324496420424</v>
      </c>
      <c r="O70" s="425">
        <f t="shared" si="74"/>
        <v>3.0551967691838859</v>
      </c>
      <c r="P70" s="425">
        <f>P69+O70</f>
        <v>6.2020494414432878</v>
      </c>
      <c r="Q70" s="425">
        <f t="shared" si="75"/>
        <v>37.812774828479583</v>
      </c>
      <c r="R70" s="425">
        <f>R69+Q70</f>
        <v>76.759932901813556</v>
      </c>
      <c r="S70" s="395"/>
      <c r="T70" s="396"/>
      <c r="U70" s="395"/>
    </row>
    <row r="71" spans="1:21" ht="15" customHeight="1" x14ac:dyDescent="0.25">
      <c r="A71" s="382">
        <v>3</v>
      </c>
      <c r="B71" s="425">
        <f t="shared" si="68"/>
        <v>18.416758550295135</v>
      </c>
      <c r="C71" s="425">
        <f t="shared" ref="C71:C78" si="76">C70+B71</f>
        <v>56.924359003107234</v>
      </c>
      <c r="D71" s="425">
        <f t="shared" si="69"/>
        <v>227.93580798359099</v>
      </c>
      <c r="E71" s="427">
        <f t="shared" ref="E71:E78" si="77">E70+D71</f>
        <v>704.52678889648143</v>
      </c>
      <c r="F71" s="425">
        <f t="shared" si="70"/>
        <v>2.0392696881688561</v>
      </c>
      <c r="G71" s="427">
        <f t="shared" ref="G71:G78" si="78">G70+F71</f>
        <v>6.3031786791611175</v>
      </c>
      <c r="H71" s="425">
        <f t="shared" si="71"/>
        <v>25.23910941221331</v>
      </c>
      <c r="I71" s="428">
        <f t="shared" ref="I71:I78" si="79">I70+H71</f>
        <v>78.011563282210119</v>
      </c>
      <c r="J71" s="397"/>
      <c r="K71" s="425">
        <f t="shared" si="72"/>
        <v>26.788012436792926</v>
      </c>
      <c r="L71" s="425">
        <f t="shared" ref="L71:L78" si="80">L70+K71</f>
        <v>82.799067640883251</v>
      </c>
      <c r="M71" s="425">
        <f t="shared" si="73"/>
        <v>331.54299343067783</v>
      </c>
      <c r="N71" s="427">
        <f t="shared" ref="N71:N78" si="81">N70+M71</f>
        <v>1024.7662383948821</v>
      </c>
      <c r="O71" s="425">
        <f t="shared" si="74"/>
        <v>2.9662104555183357</v>
      </c>
      <c r="P71" s="427">
        <f t="shared" ref="P71:P78" si="82">P70+O71</f>
        <v>9.168259896961624</v>
      </c>
      <c r="Q71" s="425">
        <f t="shared" si="75"/>
        <v>36.711431872310271</v>
      </c>
      <c r="R71" s="428">
        <f t="shared" ref="R71:R78" si="83">R70+Q71</f>
        <v>113.47136477412383</v>
      </c>
      <c r="S71" s="395"/>
      <c r="T71" s="396"/>
      <c r="U71" s="395"/>
    </row>
    <row r="72" spans="1:21" x14ac:dyDescent="0.25">
      <c r="A72" s="382">
        <v>4</v>
      </c>
      <c r="B72" s="425">
        <f t="shared" si="68"/>
        <v>17.880348107082657</v>
      </c>
      <c r="C72" s="425">
        <f t="shared" si="76"/>
        <v>74.804707110189895</v>
      </c>
      <c r="D72" s="425">
        <f t="shared" si="69"/>
        <v>221.29690095494274</v>
      </c>
      <c r="E72" s="427">
        <f t="shared" si="77"/>
        <v>925.82368985142421</v>
      </c>
      <c r="F72" s="425">
        <f t="shared" si="70"/>
        <v>1.9798734836590839</v>
      </c>
      <c r="G72" s="427">
        <f t="shared" si="78"/>
        <v>8.2830521628202014</v>
      </c>
      <c r="H72" s="425">
        <f t="shared" si="71"/>
        <v>24.503989720595449</v>
      </c>
      <c r="I72" s="428">
        <f t="shared" si="79"/>
        <v>102.51555300280558</v>
      </c>
      <c r="J72" s="397"/>
      <c r="K72" s="425">
        <f t="shared" si="72"/>
        <v>26.007779064847501</v>
      </c>
      <c r="L72" s="425">
        <f t="shared" si="80"/>
        <v>108.80684670573075</v>
      </c>
      <c r="M72" s="425">
        <f t="shared" si="73"/>
        <v>321.88640138900763</v>
      </c>
      <c r="N72" s="427">
        <f t="shared" si="81"/>
        <v>1346.6526397838898</v>
      </c>
      <c r="O72" s="425">
        <f t="shared" si="74"/>
        <v>2.8798159762313942</v>
      </c>
      <c r="P72" s="427">
        <f t="shared" si="82"/>
        <v>12.048075873193017</v>
      </c>
      <c r="Q72" s="425">
        <f t="shared" si="75"/>
        <v>35.642166866320657</v>
      </c>
      <c r="R72" s="428">
        <f t="shared" si="83"/>
        <v>149.11353164044448</v>
      </c>
      <c r="S72" s="395"/>
      <c r="T72" s="396"/>
      <c r="U72" s="395"/>
    </row>
    <row r="73" spans="1:21" x14ac:dyDescent="0.25">
      <c r="A73" s="382">
        <v>5</v>
      </c>
      <c r="B73" s="425">
        <f t="shared" si="68"/>
        <v>17.359561269012289</v>
      </c>
      <c r="C73" s="425">
        <f t="shared" si="76"/>
        <v>92.164268379202184</v>
      </c>
      <c r="D73" s="425">
        <f t="shared" si="69"/>
        <v>214.85136015042985</v>
      </c>
      <c r="E73" s="427">
        <f t="shared" si="77"/>
        <v>1140.6750500018541</v>
      </c>
      <c r="F73" s="425">
        <f t="shared" si="70"/>
        <v>1.922207265688431</v>
      </c>
      <c r="G73" s="427">
        <f t="shared" si="78"/>
        <v>10.205259428508633</v>
      </c>
      <c r="H73" s="425">
        <f t="shared" si="71"/>
        <v>23.790281282131506</v>
      </c>
      <c r="I73" s="428">
        <f t="shared" si="79"/>
        <v>126.30583428493708</v>
      </c>
      <c r="J73" s="397"/>
      <c r="K73" s="425">
        <f t="shared" si="72"/>
        <v>25.250270936745149</v>
      </c>
      <c r="L73" s="425">
        <f t="shared" si="80"/>
        <v>134.0571176424759</v>
      </c>
      <c r="M73" s="425">
        <f t="shared" si="73"/>
        <v>312.51106930971616</v>
      </c>
      <c r="N73" s="427">
        <f t="shared" si="81"/>
        <v>1659.163709093606</v>
      </c>
      <c r="O73" s="425">
        <f t="shared" si="74"/>
        <v>2.7959378410013538</v>
      </c>
      <c r="P73" s="427">
        <f t="shared" si="82"/>
        <v>14.844013714194372</v>
      </c>
      <c r="Q73" s="425">
        <f t="shared" si="75"/>
        <v>34.604045501282194</v>
      </c>
      <c r="R73" s="428">
        <f t="shared" si="83"/>
        <v>183.71757714172668</v>
      </c>
      <c r="S73" s="395"/>
      <c r="T73" s="396"/>
      <c r="U73" s="395"/>
    </row>
    <row r="74" spans="1:21" x14ac:dyDescent="0.25">
      <c r="A74" s="382">
        <v>6</v>
      </c>
      <c r="B74" s="425">
        <f t="shared" si="68"/>
        <v>16.853942979623582</v>
      </c>
      <c r="C74" s="425">
        <f t="shared" si="76"/>
        <v>109.01821135882577</v>
      </c>
      <c r="D74" s="425">
        <f t="shared" si="69"/>
        <v>208.59355354410664</v>
      </c>
      <c r="E74" s="427">
        <f t="shared" si="77"/>
        <v>1349.2686035459608</v>
      </c>
      <c r="F74" s="425">
        <f t="shared" si="70"/>
        <v>1.8662206462994475</v>
      </c>
      <c r="G74" s="427">
        <f t="shared" si="78"/>
        <v>12.071480074808081</v>
      </c>
      <c r="H74" s="425">
        <f t="shared" si="71"/>
        <v>23.097360468088837</v>
      </c>
      <c r="I74" s="428">
        <f t="shared" si="79"/>
        <v>149.4031947530259</v>
      </c>
      <c r="J74" s="397"/>
      <c r="K74" s="425">
        <f t="shared" si="72"/>
        <v>24.514826152179754</v>
      </c>
      <c r="L74" s="425">
        <f t="shared" si="80"/>
        <v>158.57194379465565</v>
      </c>
      <c r="M74" s="425">
        <f t="shared" si="73"/>
        <v>303.40880515506421</v>
      </c>
      <c r="N74" s="427">
        <f t="shared" si="81"/>
        <v>1962.5725142486704</v>
      </c>
      <c r="O74" s="425">
        <f t="shared" si="74"/>
        <v>2.7145027582537415</v>
      </c>
      <c r="P74" s="427">
        <f t="shared" si="82"/>
        <v>17.558516472448112</v>
      </c>
      <c r="Q74" s="425">
        <f t="shared" si="75"/>
        <v>33.596160680856492</v>
      </c>
      <c r="R74" s="428">
        <f t="shared" si="83"/>
        <v>217.31373782258316</v>
      </c>
      <c r="S74" s="395"/>
      <c r="T74" s="396"/>
      <c r="U74" s="395"/>
    </row>
    <row r="75" spans="1:21" x14ac:dyDescent="0.25">
      <c r="A75" s="382">
        <v>7</v>
      </c>
      <c r="B75" s="425">
        <f t="shared" si="68"/>
        <v>16.363051436527748</v>
      </c>
      <c r="C75" s="425">
        <f t="shared" si="76"/>
        <v>125.38126279535351</v>
      </c>
      <c r="D75" s="425">
        <f t="shared" si="69"/>
        <v>202.51801314961807</v>
      </c>
      <c r="E75" s="427">
        <f t="shared" si="77"/>
        <v>1551.7866166955789</v>
      </c>
      <c r="F75" s="425">
        <f t="shared" si="70"/>
        <v>1.8118647051450945</v>
      </c>
      <c r="G75" s="427">
        <f t="shared" si="78"/>
        <v>13.883344779953175</v>
      </c>
      <c r="H75" s="425">
        <f t="shared" si="71"/>
        <v>22.424621813678481</v>
      </c>
      <c r="I75" s="428">
        <f t="shared" si="79"/>
        <v>171.82781656670437</v>
      </c>
      <c r="J75" s="397"/>
      <c r="K75" s="425">
        <f t="shared" si="72"/>
        <v>23.800802089494905</v>
      </c>
      <c r="L75" s="425">
        <f t="shared" si="80"/>
        <v>182.37274588415056</v>
      </c>
      <c r="M75" s="425">
        <f t="shared" si="73"/>
        <v>294.57165549035358</v>
      </c>
      <c r="N75" s="427">
        <f t="shared" si="81"/>
        <v>2257.1441697390237</v>
      </c>
      <c r="O75" s="425">
        <f t="shared" si="74"/>
        <v>2.6354395711201373</v>
      </c>
      <c r="P75" s="427">
        <f t="shared" si="82"/>
        <v>20.193956043568249</v>
      </c>
      <c r="Q75" s="425">
        <f t="shared" si="75"/>
        <v>32.617631728986886</v>
      </c>
      <c r="R75" s="428">
        <f t="shared" si="83"/>
        <v>249.93136955157004</v>
      </c>
      <c r="S75" s="395"/>
      <c r="T75" s="396"/>
      <c r="U75" s="395"/>
    </row>
    <row r="76" spans="1:21" x14ac:dyDescent="0.25">
      <c r="A76" s="382">
        <v>8</v>
      </c>
      <c r="B76" s="425">
        <f t="shared" si="68"/>
        <v>15.886457705366748</v>
      </c>
      <c r="C76" s="425">
        <f t="shared" si="76"/>
        <v>141.26772050072026</v>
      </c>
      <c r="D76" s="425">
        <f t="shared" si="69"/>
        <v>196.61943024234768</v>
      </c>
      <c r="E76" s="427">
        <f t="shared" si="77"/>
        <v>1748.4060469379265</v>
      </c>
      <c r="F76" s="425">
        <f t="shared" si="70"/>
        <v>1.7590919467428103</v>
      </c>
      <c r="G76" s="427">
        <f t="shared" si="78"/>
        <v>15.642436726695985</v>
      </c>
      <c r="H76" s="425">
        <f t="shared" si="71"/>
        <v>21.771477489008237</v>
      </c>
      <c r="I76" s="428">
        <f t="shared" si="79"/>
        <v>193.59929405571262</v>
      </c>
      <c r="J76" s="397"/>
      <c r="K76" s="425">
        <f t="shared" si="72"/>
        <v>23.107574844169815</v>
      </c>
      <c r="L76" s="425">
        <f t="shared" si="80"/>
        <v>205.48032072832038</v>
      </c>
      <c r="M76" s="425">
        <f t="shared" si="73"/>
        <v>285.99189853432392</v>
      </c>
      <c r="N76" s="427">
        <f t="shared" si="81"/>
        <v>2543.1360682733475</v>
      </c>
      <c r="O76" s="425">
        <f t="shared" si="74"/>
        <v>2.5586791952622696</v>
      </c>
      <c r="P76" s="427">
        <f t="shared" si="82"/>
        <v>22.752635238830518</v>
      </c>
      <c r="Q76" s="425">
        <f t="shared" si="75"/>
        <v>31.667603620375623</v>
      </c>
      <c r="R76" s="428">
        <f t="shared" si="83"/>
        <v>281.59897317194566</v>
      </c>
      <c r="S76" s="395"/>
      <c r="T76" s="396"/>
      <c r="U76" s="395"/>
    </row>
    <row r="77" spans="1:21" x14ac:dyDescent="0.25">
      <c r="A77" s="382">
        <v>9</v>
      </c>
      <c r="B77" s="425">
        <f t="shared" si="68"/>
        <v>15.423745345016259</v>
      </c>
      <c r="C77" s="425">
        <f t="shared" si="76"/>
        <v>156.69146584573653</v>
      </c>
      <c r="D77" s="425">
        <f t="shared" si="69"/>
        <v>190.8926507207259</v>
      </c>
      <c r="E77" s="427">
        <f t="shared" si="77"/>
        <v>1939.2986976586524</v>
      </c>
      <c r="F77" s="425">
        <f t="shared" si="70"/>
        <v>1.7078562589736022</v>
      </c>
      <c r="G77" s="427">
        <f t="shared" si="78"/>
        <v>17.350292985669586</v>
      </c>
      <c r="H77" s="425">
        <f t="shared" si="71"/>
        <v>21.13735678544489</v>
      </c>
      <c r="I77" s="428">
        <f t="shared" si="79"/>
        <v>214.73665084115751</v>
      </c>
      <c r="J77" s="397"/>
      <c r="K77" s="425">
        <f t="shared" si="72"/>
        <v>22.434538683660012</v>
      </c>
      <c r="L77" s="425">
        <f t="shared" si="80"/>
        <v>227.91485941198039</v>
      </c>
      <c r="M77" s="425">
        <f t="shared" si="73"/>
        <v>277.66203741196495</v>
      </c>
      <c r="N77" s="427">
        <f t="shared" si="81"/>
        <v>2820.7981056853123</v>
      </c>
      <c r="O77" s="425">
        <f t="shared" si="74"/>
        <v>2.4841545585070577</v>
      </c>
      <c r="P77" s="427">
        <f t="shared" si="82"/>
        <v>25.236789797337575</v>
      </c>
      <c r="Q77" s="425">
        <f t="shared" si="75"/>
        <v>30.745246233374388</v>
      </c>
      <c r="R77" s="428">
        <f t="shared" si="83"/>
        <v>312.34421940532002</v>
      </c>
      <c r="S77" s="395"/>
      <c r="T77" s="396"/>
      <c r="U77" s="395"/>
    </row>
    <row r="78" spans="1:21" x14ac:dyDescent="0.25">
      <c r="A78" s="382">
        <v>10</v>
      </c>
      <c r="B78" s="425">
        <f t="shared" si="68"/>
        <v>14.974510043705106</v>
      </c>
      <c r="C78" s="425">
        <f t="shared" si="76"/>
        <v>171.66597588944163</v>
      </c>
      <c r="D78" s="425">
        <f t="shared" si="69"/>
        <v>185.33267060264649</v>
      </c>
      <c r="E78" s="427">
        <f t="shared" si="77"/>
        <v>2124.631368261299</v>
      </c>
      <c r="F78" s="425">
        <f t="shared" si="70"/>
        <v>1.658112872789905</v>
      </c>
      <c r="G78" s="427">
        <f t="shared" si="78"/>
        <v>19.00840585845949</v>
      </c>
      <c r="H78" s="425">
        <f t="shared" si="71"/>
        <v>20.521705616936789</v>
      </c>
      <c r="I78" s="428">
        <f t="shared" si="79"/>
        <v>235.25835645809431</v>
      </c>
      <c r="J78" s="397"/>
      <c r="K78" s="425">
        <f t="shared" si="72"/>
        <v>21.781105518116519</v>
      </c>
      <c r="L78" s="425">
        <f t="shared" si="80"/>
        <v>249.69596493009692</v>
      </c>
      <c r="M78" s="425">
        <f t="shared" si="73"/>
        <v>269.57479360384946</v>
      </c>
      <c r="N78" s="427">
        <f t="shared" si="81"/>
        <v>3090.372899289162</v>
      </c>
      <c r="O78" s="425">
        <f t="shared" si="74"/>
        <v>2.4118005422398618</v>
      </c>
      <c r="P78" s="427">
        <f t="shared" si="82"/>
        <v>27.648590339577439</v>
      </c>
      <c r="Q78" s="425">
        <f t="shared" si="75"/>
        <v>29.84975362463533</v>
      </c>
      <c r="R78" s="428">
        <f t="shared" si="83"/>
        <v>342.19397302995537</v>
      </c>
      <c r="S78" s="395"/>
      <c r="T78" s="396"/>
      <c r="U78" s="395"/>
    </row>
  </sheetData>
  <mergeCells count="20">
    <mergeCell ref="S6:S7"/>
    <mergeCell ref="B54:I54"/>
    <mergeCell ref="K54:R54"/>
    <mergeCell ref="B67:I67"/>
    <mergeCell ref="K67:R67"/>
    <mergeCell ref="K15:R15"/>
    <mergeCell ref="B28:I28"/>
    <mergeCell ref="K28:R28"/>
    <mergeCell ref="B41:I41"/>
    <mergeCell ref="K41:R41"/>
    <mergeCell ref="D1:Q3"/>
    <mergeCell ref="B15:I15"/>
    <mergeCell ref="H5:O5"/>
    <mergeCell ref="I6:J6"/>
    <mergeCell ref="K6:L6"/>
    <mergeCell ref="M6:N6"/>
    <mergeCell ref="D10:E10"/>
    <mergeCell ref="O6:P6"/>
    <mergeCell ref="C13:C14"/>
    <mergeCell ref="D13:D14"/>
  </mergeCells>
  <pageMargins left="0.7" right="0.7" top="0.75" bottom="0.75" header="0.3" footer="0.3"/>
  <pageSetup orientation="portrait" r:id="rId1"/>
  <ignoredErrors>
    <ignoredError sqref="D17:G27 M17:Q26 D40:H40 D43:H52 M30:Q39 M43:Q52 D56:H65 D69:H78 M69:Q78 M57:Q65 N56:Q56 D30:G30 D31:G39" formula="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B1:AB78"/>
  <sheetViews>
    <sheetView zoomScaleNormal="100" workbookViewId="0">
      <selection activeCell="I8" sqref="I8"/>
    </sheetView>
  </sheetViews>
  <sheetFormatPr defaultRowHeight="15" x14ac:dyDescent="0.25"/>
  <cols>
    <col min="1" max="1" width="9.140625" style="381"/>
    <col min="2" max="2" width="15.5703125" style="381" customWidth="1"/>
    <col min="3" max="3" width="13.28515625" style="381" customWidth="1"/>
    <col min="4" max="4" width="11.7109375" style="381" customWidth="1"/>
    <col min="5" max="5" width="12.5703125" style="381" customWidth="1"/>
    <col min="6" max="6" width="12.28515625" style="381" customWidth="1"/>
    <col min="7" max="7" width="9.140625" style="381"/>
    <col min="8" max="8" width="17.5703125" style="381" customWidth="1"/>
    <col min="9" max="10" width="14.85546875" style="381" customWidth="1"/>
    <col min="11" max="12" width="12.7109375" style="381" customWidth="1"/>
    <col min="13" max="14" width="13.7109375" style="381" customWidth="1"/>
    <col min="15" max="15" width="13.5703125" style="381" customWidth="1"/>
    <col min="16" max="16" width="12.42578125" style="381" customWidth="1"/>
    <col min="17" max="17" width="15.85546875" style="381" customWidth="1"/>
    <col min="18" max="18" width="14.85546875" style="381" customWidth="1"/>
    <col min="19" max="19" width="13.42578125" style="381" customWidth="1"/>
    <col min="20" max="20" width="13" style="381" customWidth="1"/>
    <col min="21" max="21" width="13.7109375" style="381" customWidth="1"/>
    <col min="22" max="16384" width="9.140625" style="381"/>
  </cols>
  <sheetData>
    <row r="1" spans="2:28" s="400" customFormat="1" ht="15" customHeight="1" x14ac:dyDescent="0.4">
      <c r="C1" s="424"/>
      <c r="D1" s="940" t="s">
        <v>220</v>
      </c>
      <c r="E1" s="940"/>
      <c r="F1" s="940"/>
      <c r="G1" s="940"/>
      <c r="H1" s="940"/>
      <c r="I1" s="940"/>
      <c r="J1" s="940"/>
      <c r="K1" s="940"/>
      <c r="L1" s="940"/>
      <c r="M1" s="940"/>
      <c r="N1" s="940"/>
      <c r="O1" s="940"/>
      <c r="P1" s="940"/>
      <c r="Q1" s="940"/>
      <c r="R1" s="424"/>
      <c r="S1" s="424"/>
      <c r="T1" s="424"/>
      <c r="U1" s="424"/>
      <c r="V1" s="404"/>
      <c r="W1" s="404"/>
      <c r="X1" s="404"/>
      <c r="Y1" s="404"/>
      <c r="Z1" s="404"/>
      <c r="AA1" s="404"/>
      <c r="AB1" s="404"/>
    </row>
    <row r="2" spans="2:28" s="403" customFormat="1" ht="15" customHeight="1" x14ac:dyDescent="0.4">
      <c r="B2" s="424"/>
      <c r="C2" s="424"/>
      <c r="D2" s="940"/>
      <c r="E2" s="940"/>
      <c r="F2" s="940"/>
      <c r="G2" s="940"/>
      <c r="H2" s="940"/>
      <c r="I2" s="940"/>
      <c r="J2" s="940"/>
      <c r="K2" s="940"/>
      <c r="L2" s="940"/>
      <c r="M2" s="940"/>
      <c r="N2" s="940"/>
      <c r="O2" s="940"/>
      <c r="P2" s="940"/>
      <c r="Q2" s="940"/>
      <c r="R2" s="424"/>
      <c r="S2" s="424"/>
      <c r="T2" s="424"/>
      <c r="U2" s="424"/>
      <c r="V2" s="404"/>
      <c r="W2" s="404"/>
      <c r="X2" s="404"/>
      <c r="Y2" s="404"/>
      <c r="Z2" s="404"/>
      <c r="AA2" s="404"/>
      <c r="AB2" s="404"/>
    </row>
    <row r="3" spans="2:28" s="403" customFormat="1" ht="15" customHeight="1" x14ac:dyDescent="0.4">
      <c r="B3" s="424"/>
      <c r="C3" s="424"/>
      <c r="D3" s="940"/>
      <c r="E3" s="940"/>
      <c r="F3" s="940"/>
      <c r="G3" s="940"/>
      <c r="H3" s="940"/>
      <c r="I3" s="940"/>
      <c r="J3" s="940"/>
      <c r="K3" s="940"/>
      <c r="L3" s="940"/>
      <c r="M3" s="940"/>
      <c r="N3" s="940"/>
      <c r="O3" s="940"/>
      <c r="P3" s="940"/>
      <c r="Q3" s="940"/>
      <c r="R3" s="424"/>
      <c r="S3" s="424"/>
      <c r="T3" s="424"/>
      <c r="U3" s="424"/>
    </row>
    <row r="5" spans="2:28" s="401" customFormat="1" ht="17.25" customHeight="1" x14ac:dyDescent="0.25">
      <c r="H5" s="942" t="s">
        <v>399</v>
      </c>
      <c r="I5" s="942"/>
      <c r="J5" s="942"/>
      <c r="K5" s="942"/>
      <c r="L5" s="942"/>
      <c r="M5" s="942"/>
      <c r="N5" s="942"/>
      <c r="O5" s="942"/>
      <c r="P5" s="419"/>
      <c r="Q5" s="419"/>
      <c r="R5" s="419"/>
    </row>
    <row r="6" spans="2:28" ht="28.5" customHeight="1" x14ac:dyDescent="0.25">
      <c r="C6" s="547" t="s">
        <v>373</v>
      </c>
      <c r="D6" s="596">
        <f>Caries!E14</f>
        <v>7.3009708737864082E-2</v>
      </c>
      <c r="E6" s="544" t="s">
        <v>375</v>
      </c>
      <c r="F6" s="545">
        <f>FMDR!F15</f>
        <v>6.2524271844660195E-2</v>
      </c>
      <c r="H6" s="548"/>
      <c r="I6" s="943" t="s">
        <v>219</v>
      </c>
      <c r="J6" s="943"/>
      <c r="K6" s="944" t="s">
        <v>216</v>
      </c>
      <c r="L6" s="944"/>
      <c r="M6" s="418"/>
      <c r="N6" s="418"/>
    </row>
    <row r="7" spans="2:28" ht="15.75" thickBot="1" x14ac:dyDescent="0.3">
      <c r="H7" s="391" t="s">
        <v>210</v>
      </c>
      <c r="I7" s="392" t="s">
        <v>214</v>
      </c>
      <c r="J7" s="392" t="s">
        <v>215</v>
      </c>
      <c r="K7" s="392" t="s">
        <v>214</v>
      </c>
      <c r="L7" s="392" t="s">
        <v>215</v>
      </c>
    </row>
    <row r="8" spans="2:28" ht="31.5" thickTop="1" thickBot="1" x14ac:dyDescent="0.3">
      <c r="C8" s="547" t="s">
        <v>15</v>
      </c>
      <c r="D8" s="412">
        <f>Summary!K6</f>
        <v>0.03</v>
      </c>
      <c r="H8" s="405" t="str">
        <f>Prevention!E10</f>
        <v>Water Fluoridation</v>
      </c>
      <c r="I8" s="423">
        <f>'Total Discounting'!R10</f>
        <v>253.18840495765343</v>
      </c>
      <c r="J8" s="421">
        <f>'Total Discounting'!T10</f>
        <v>340.83054513530266</v>
      </c>
      <c r="K8" s="422">
        <f>'Total Discounting'!V10</f>
        <v>479.39548366040083</v>
      </c>
      <c r="L8" s="422">
        <f>'Total Discounting'!X10</f>
        <v>645.3400741582318</v>
      </c>
    </row>
    <row r="9" spans="2:28" ht="16.5" customHeight="1" thickTop="1" thickBot="1" x14ac:dyDescent="0.3">
      <c r="H9" s="409" t="str">
        <f>Prevention!E11</f>
        <v>Dental Sealants</v>
      </c>
      <c r="I9" s="423">
        <f>'Total Discounting'!R11</f>
        <v>74.424015699235682</v>
      </c>
      <c r="J9" s="421">
        <f>'Total Discounting'!T11</f>
        <v>81.761594711836409</v>
      </c>
      <c r="K9" s="422">
        <f>'Total Discounting'!V11</f>
        <v>766.56736170212764</v>
      </c>
      <c r="L9" s="422">
        <f>'Total Discounting'!X11</f>
        <v>842.14442553191509</v>
      </c>
    </row>
    <row r="10" spans="2:28" ht="31.5" thickTop="1" thickBot="1" x14ac:dyDescent="0.3">
      <c r="C10" s="547" t="s">
        <v>212</v>
      </c>
      <c r="D10" s="946" t="s">
        <v>60</v>
      </c>
      <c r="E10" s="946"/>
      <c r="H10" s="409" t="str">
        <f>Prevention!E12</f>
        <v>Fluoride Varnish</v>
      </c>
      <c r="I10" s="423">
        <f>'Total Discounting'!R12</f>
        <v>247.36027077050198</v>
      </c>
      <c r="J10" s="421">
        <f>'Total Discounting'!T12</f>
        <v>329.81369436066933</v>
      </c>
      <c r="K10" s="422">
        <f>'Total Discounting'!V12</f>
        <v>485.85255319148933</v>
      </c>
      <c r="L10" s="422">
        <f>'Total Discounting'!X12</f>
        <v>647.80340425531915</v>
      </c>
    </row>
    <row r="11" spans="2:28" ht="46.5" thickTop="1" thickBot="1" x14ac:dyDescent="0.3">
      <c r="C11" s="547" t="s">
        <v>348</v>
      </c>
      <c r="D11" s="459">
        <f>Caries!I13</f>
        <v>7.7340425531914896</v>
      </c>
      <c r="F11" s="420"/>
      <c r="H11" s="405" t="str">
        <f>Prevention!E13</f>
        <v>Toothbrush/      Toothpaste</v>
      </c>
      <c r="I11" s="423">
        <f>'Total Discounting'!R13</f>
        <v>311.7553882978724</v>
      </c>
      <c r="J11" s="421">
        <f>'Total Discounting'!T13</f>
        <v>415.67385106382994</v>
      </c>
      <c r="K11" s="422">
        <f>'Total Discounting'!V13</f>
        <v>566.82797872340427</v>
      </c>
      <c r="L11" s="422">
        <f>'Total Discounting'!X13</f>
        <v>755.77063829787244</v>
      </c>
    </row>
    <row r="12" spans="2:28" ht="16.5" customHeight="1" thickTop="1" thickBot="1" x14ac:dyDescent="0.3">
      <c r="H12" s="409" t="str">
        <f>Prevention!E14</f>
        <v>Initial Exam</v>
      </c>
      <c r="I12" s="423">
        <f>'Total Discounting'!R14</f>
        <v>37.35875942986987</v>
      </c>
      <c r="J12" s="421">
        <f>'Total Discounting'!T14</f>
        <v>54.340013716174354</v>
      </c>
      <c r="K12" s="422">
        <f>'Total Discounting'!V14</f>
        <v>462.37230035116721</v>
      </c>
      <c r="L12" s="422">
        <f>'Total Discounting'!X14</f>
        <v>672.5415277835159</v>
      </c>
    </row>
    <row r="13" spans="2:28" ht="16.5" customHeight="1" thickTop="1" x14ac:dyDescent="0.25">
      <c r="C13" s="947" t="s">
        <v>355</v>
      </c>
      <c r="D13" s="948">
        <v>1</v>
      </c>
      <c r="H13" s="417" t="s">
        <v>221</v>
      </c>
      <c r="I13" s="393"/>
      <c r="J13" s="393"/>
      <c r="K13" s="393"/>
      <c r="L13" s="393"/>
      <c r="M13" s="394"/>
      <c r="N13" s="394"/>
      <c r="O13" s="394"/>
    </row>
    <row r="14" spans="2:28" x14ac:dyDescent="0.25">
      <c r="C14" s="947"/>
      <c r="D14" s="948"/>
      <c r="E14" s="394"/>
      <c r="F14" s="394"/>
    </row>
    <row r="15" spans="2:28" s="401" customFormat="1" ht="18.75" x14ac:dyDescent="0.3">
      <c r="C15" s="941" t="s">
        <v>223</v>
      </c>
      <c r="D15" s="941"/>
      <c r="E15" s="941"/>
      <c r="F15" s="941"/>
      <c r="G15" s="941"/>
      <c r="H15" s="941"/>
      <c r="I15" s="601"/>
      <c r="J15" s="426"/>
      <c r="K15" s="601" t="s">
        <v>222</v>
      </c>
      <c r="L15" s="601"/>
      <c r="M15" s="601"/>
      <c r="N15" s="601"/>
      <c r="O15" s="601"/>
      <c r="P15" s="601"/>
      <c r="Q15" s="601"/>
      <c r="R15" s="601"/>
      <c r="S15" s="419"/>
      <c r="T15" s="419"/>
      <c r="U15" s="419"/>
    </row>
    <row r="16" spans="2:28" ht="15" customHeight="1" x14ac:dyDescent="0.25">
      <c r="D16" s="382" t="s">
        <v>224</v>
      </c>
      <c r="E16" s="382" t="s">
        <v>90</v>
      </c>
      <c r="F16" s="382" t="s">
        <v>89</v>
      </c>
      <c r="G16" s="382" t="s">
        <v>91</v>
      </c>
      <c r="H16" s="382" t="s">
        <v>89</v>
      </c>
      <c r="I16" s="382"/>
      <c r="K16" s="381" t="s">
        <v>90</v>
      </c>
      <c r="L16" s="381" t="s">
        <v>89</v>
      </c>
      <c r="M16" s="381" t="s">
        <v>91</v>
      </c>
      <c r="N16" s="381" t="s">
        <v>89</v>
      </c>
    </row>
    <row r="17" spans="2:21" ht="15" customHeight="1" x14ac:dyDescent="0.25">
      <c r="D17" s="382">
        <v>1</v>
      </c>
      <c r="E17" s="425">
        <f t="shared" ref="E17:E26" si="0">$I$8/(1+$D$8)^D17</f>
        <v>245.81398539578004</v>
      </c>
      <c r="F17" s="425">
        <f>E17</f>
        <v>245.81398539578004</v>
      </c>
      <c r="G17" s="425">
        <f t="shared" ref="G17:G26" si="1">$K$8/(1+$D$8)^D17</f>
        <v>465.43250840815614</v>
      </c>
      <c r="H17" s="427">
        <f>G17</f>
        <v>465.43250840815614</v>
      </c>
      <c r="I17" s="425"/>
      <c r="J17" s="397"/>
      <c r="K17" s="425">
        <f t="shared" ref="K17:K26" si="2">$J$8/(1+$D$8)^D17</f>
        <v>330.90344187893459</v>
      </c>
      <c r="L17" s="425">
        <f>K17</f>
        <v>330.90344187893459</v>
      </c>
      <c r="M17" s="425">
        <f t="shared" ref="M17:M26" si="3">$L$8/(1+$D$8)^D17</f>
        <v>626.54376131867161</v>
      </c>
      <c r="N17" s="427">
        <f>M17</f>
        <v>626.54376131867161</v>
      </c>
      <c r="O17" s="425"/>
      <c r="P17" s="425"/>
      <c r="Q17" s="425"/>
      <c r="R17" s="425"/>
      <c r="S17" s="395"/>
      <c r="T17" s="396"/>
      <c r="U17" s="395"/>
    </row>
    <row r="18" spans="2:21" ht="15" customHeight="1" x14ac:dyDescent="0.25">
      <c r="D18" s="382">
        <v>2</v>
      </c>
      <c r="E18" s="425">
        <f t="shared" si="0"/>
        <v>238.65435475318452</v>
      </c>
      <c r="F18" s="425">
        <f>F17+E18</f>
        <v>484.46834014896456</v>
      </c>
      <c r="G18" s="425">
        <f t="shared" si="1"/>
        <v>451.87622175549143</v>
      </c>
      <c r="H18" s="427">
        <f>H17+G18</f>
        <v>917.30873016364762</v>
      </c>
      <c r="I18" s="425"/>
      <c r="J18" s="397"/>
      <c r="K18" s="425">
        <f t="shared" si="2"/>
        <v>321.26547755236373</v>
      </c>
      <c r="L18" s="425">
        <f>L17+K18</f>
        <v>652.16891943129826</v>
      </c>
      <c r="M18" s="425">
        <f t="shared" si="3"/>
        <v>608.29491390162298</v>
      </c>
      <c r="N18" s="427">
        <f>N17+M18</f>
        <v>1234.8386752202946</v>
      </c>
      <c r="O18" s="425"/>
      <c r="P18" s="425"/>
      <c r="Q18" s="425"/>
      <c r="R18" s="425"/>
      <c r="S18" s="395"/>
      <c r="T18" s="396"/>
      <c r="U18" s="395"/>
    </row>
    <row r="19" spans="2:21" ht="15" customHeight="1" x14ac:dyDescent="0.25">
      <c r="D19" s="382">
        <v>3</v>
      </c>
      <c r="E19" s="425">
        <f t="shared" si="0"/>
        <v>231.70325704192669</v>
      </c>
      <c r="F19" s="425">
        <f t="shared" ref="F19:F26" si="4">F18+E19</f>
        <v>716.17159719089125</v>
      </c>
      <c r="G19" s="425">
        <f t="shared" si="1"/>
        <v>438.71477840338969</v>
      </c>
      <c r="H19" s="427">
        <f t="shared" ref="H19:H26" si="5">H18+G19</f>
        <v>1356.0235085670374</v>
      </c>
      <c r="I19" s="428"/>
      <c r="J19" s="397"/>
      <c r="K19" s="425">
        <f t="shared" si="2"/>
        <v>311.90823063336285</v>
      </c>
      <c r="L19" s="425">
        <f t="shared" ref="L19:L26" si="6">L18+K19</f>
        <v>964.07715006466105</v>
      </c>
      <c r="M19" s="425">
        <f t="shared" si="3"/>
        <v>590.57758631225533</v>
      </c>
      <c r="N19" s="427">
        <f t="shared" ref="N19:N26" si="7">N18+M19</f>
        <v>1825.4162615325499</v>
      </c>
      <c r="O19" s="425"/>
      <c r="P19" s="427"/>
      <c r="Q19" s="425"/>
      <c r="R19" s="428"/>
      <c r="S19" s="395"/>
      <c r="T19" s="396"/>
      <c r="U19" s="395"/>
    </row>
    <row r="20" spans="2:21" x14ac:dyDescent="0.25">
      <c r="D20" s="382">
        <v>4</v>
      </c>
      <c r="E20" s="425">
        <f t="shared" si="0"/>
        <v>224.9546184873075</v>
      </c>
      <c r="F20" s="425">
        <f t="shared" si="4"/>
        <v>941.12621567819872</v>
      </c>
      <c r="G20" s="425">
        <f t="shared" si="1"/>
        <v>425.93667806154343</v>
      </c>
      <c r="H20" s="427">
        <f t="shared" si="5"/>
        <v>1781.9601866285809</v>
      </c>
      <c r="I20" s="428"/>
      <c r="J20" s="397"/>
      <c r="K20" s="425">
        <f t="shared" si="2"/>
        <v>302.82352488676003</v>
      </c>
      <c r="L20" s="425">
        <f t="shared" si="6"/>
        <v>1266.900674951421</v>
      </c>
      <c r="M20" s="425">
        <f t="shared" si="3"/>
        <v>573.37629739053921</v>
      </c>
      <c r="N20" s="427">
        <f t="shared" si="7"/>
        <v>2398.792558923089</v>
      </c>
      <c r="O20" s="425"/>
      <c r="P20" s="427"/>
      <c r="Q20" s="425"/>
      <c r="R20" s="428"/>
      <c r="S20" s="395"/>
      <c r="T20" s="396"/>
      <c r="U20" s="395"/>
    </row>
    <row r="21" spans="2:21" x14ac:dyDescent="0.25">
      <c r="D21" s="382">
        <v>5</v>
      </c>
      <c r="E21" s="425">
        <f t="shared" si="0"/>
        <v>218.40254222068688</v>
      </c>
      <c r="F21" s="425">
        <f t="shared" si="4"/>
        <v>1159.5287578988855</v>
      </c>
      <c r="G21" s="425">
        <f t="shared" si="1"/>
        <v>413.53075539955677</v>
      </c>
      <c r="H21" s="427">
        <f t="shared" si="5"/>
        <v>2195.4909420281379</v>
      </c>
      <c r="I21" s="428"/>
      <c r="J21" s="397"/>
      <c r="K21" s="425">
        <f t="shared" si="2"/>
        <v>294.00342222015541</v>
      </c>
      <c r="L21" s="425">
        <f t="shared" si="6"/>
        <v>1560.9040971715765</v>
      </c>
      <c r="M21" s="425">
        <f t="shared" si="3"/>
        <v>556.67601688401862</v>
      </c>
      <c r="N21" s="427">
        <f t="shared" si="7"/>
        <v>2955.4685758071078</v>
      </c>
      <c r="O21" s="425"/>
      <c r="P21" s="427"/>
      <c r="Q21" s="425"/>
      <c r="R21" s="428"/>
      <c r="S21" s="395"/>
      <c r="T21" s="396"/>
      <c r="U21" s="395"/>
    </row>
    <row r="22" spans="2:21" x14ac:dyDescent="0.25">
      <c r="D22" s="382">
        <v>6</v>
      </c>
      <c r="E22" s="425">
        <f t="shared" si="0"/>
        <v>212.04130312688048</v>
      </c>
      <c r="F22" s="425">
        <f t="shared" si="4"/>
        <v>1371.5700610257659</v>
      </c>
      <c r="G22" s="425">
        <f t="shared" si="1"/>
        <v>401.48617029083181</v>
      </c>
      <c r="H22" s="427">
        <f t="shared" si="5"/>
        <v>2596.9771123189698</v>
      </c>
      <c r="I22" s="428"/>
      <c r="J22" s="397"/>
      <c r="K22" s="425">
        <f t="shared" si="2"/>
        <v>285.4402157477237</v>
      </c>
      <c r="L22" s="425">
        <f t="shared" si="6"/>
        <v>1846.3443129193001</v>
      </c>
      <c r="M22" s="425">
        <f t="shared" si="3"/>
        <v>540.4621523145812</v>
      </c>
      <c r="N22" s="427">
        <f t="shared" si="7"/>
        <v>3495.9307281216888</v>
      </c>
      <c r="O22" s="425"/>
      <c r="P22" s="427"/>
      <c r="Q22" s="425"/>
      <c r="R22" s="428"/>
      <c r="S22" s="395"/>
      <c r="T22" s="396"/>
      <c r="U22" s="395"/>
    </row>
    <row r="23" spans="2:21" x14ac:dyDescent="0.25">
      <c r="D23" s="382">
        <v>7</v>
      </c>
      <c r="E23" s="425">
        <f t="shared" si="0"/>
        <v>205.8653428416315</v>
      </c>
      <c r="F23" s="425">
        <f t="shared" si="4"/>
        <v>1577.4354038673973</v>
      </c>
      <c r="G23" s="425">
        <f t="shared" si="1"/>
        <v>389.79239834061337</v>
      </c>
      <c r="H23" s="427">
        <f t="shared" si="5"/>
        <v>2986.7695106595834</v>
      </c>
      <c r="I23" s="428"/>
      <c r="J23" s="397"/>
      <c r="K23" s="425">
        <f t="shared" si="2"/>
        <v>277.12642305604237</v>
      </c>
      <c r="L23" s="425">
        <f t="shared" si="6"/>
        <v>2123.4707359753424</v>
      </c>
      <c r="M23" s="425">
        <f t="shared" si="3"/>
        <v>524.72053622774865</v>
      </c>
      <c r="N23" s="427">
        <f t="shared" si="7"/>
        <v>4020.6512643494375</v>
      </c>
      <c r="O23" s="425"/>
      <c r="P23" s="427"/>
      <c r="Q23" s="425"/>
      <c r="R23" s="428"/>
      <c r="S23" s="395"/>
      <c r="T23" s="396"/>
      <c r="U23" s="395"/>
    </row>
    <row r="24" spans="2:21" x14ac:dyDescent="0.25">
      <c r="D24" s="382">
        <v>8</v>
      </c>
      <c r="E24" s="425">
        <f t="shared" si="0"/>
        <v>199.8692648947879</v>
      </c>
      <c r="F24" s="425">
        <f t="shared" si="4"/>
        <v>1777.3046687621852</v>
      </c>
      <c r="G24" s="425">
        <f t="shared" si="1"/>
        <v>378.43922168991594</v>
      </c>
      <c r="H24" s="427">
        <f t="shared" si="5"/>
        <v>3365.2087323494993</v>
      </c>
      <c r="I24" s="428"/>
      <c r="J24" s="397"/>
      <c r="K24" s="425">
        <f t="shared" si="2"/>
        <v>269.0547796660606</v>
      </c>
      <c r="L24" s="425">
        <f t="shared" si="6"/>
        <v>2392.5255156414032</v>
      </c>
      <c r="M24" s="425">
        <f t="shared" si="3"/>
        <v>509.43741381334831</v>
      </c>
      <c r="N24" s="427">
        <f t="shared" si="7"/>
        <v>4530.088678162786</v>
      </c>
      <c r="O24" s="425"/>
      <c r="P24" s="427"/>
      <c r="Q24" s="425"/>
      <c r="R24" s="428"/>
      <c r="S24" s="395"/>
      <c r="T24" s="396"/>
      <c r="U24" s="395"/>
    </row>
    <row r="25" spans="2:21" x14ac:dyDescent="0.25">
      <c r="D25" s="382">
        <v>9</v>
      </c>
      <c r="E25" s="425">
        <f t="shared" si="0"/>
        <v>194.04782999493969</v>
      </c>
      <c r="F25" s="425">
        <f t="shared" si="4"/>
        <v>1971.352498757125</v>
      </c>
      <c r="G25" s="425">
        <f t="shared" si="1"/>
        <v>367.41672008729699</v>
      </c>
      <c r="H25" s="427">
        <f t="shared" si="5"/>
        <v>3732.6254524367964</v>
      </c>
      <c r="I25" s="428"/>
      <c r="J25" s="397"/>
      <c r="K25" s="425">
        <f t="shared" si="2"/>
        <v>261.21823268549571</v>
      </c>
      <c r="L25" s="425">
        <f t="shared" si="6"/>
        <v>2653.7437483268991</v>
      </c>
      <c r="M25" s="425">
        <f t="shared" si="3"/>
        <v>494.59943088674589</v>
      </c>
      <c r="N25" s="427">
        <f t="shared" si="7"/>
        <v>5024.6881090495317</v>
      </c>
      <c r="O25" s="425"/>
      <c r="P25" s="427"/>
      <c r="Q25" s="425"/>
      <c r="R25" s="428"/>
      <c r="S25" s="395"/>
      <c r="T25" s="396"/>
      <c r="U25" s="395"/>
    </row>
    <row r="26" spans="2:21" x14ac:dyDescent="0.25">
      <c r="D26" s="382">
        <v>10</v>
      </c>
      <c r="E26" s="425">
        <f t="shared" si="0"/>
        <v>188.39595145139776</v>
      </c>
      <c r="F26" s="425">
        <f t="shared" si="4"/>
        <v>2159.7484502085226</v>
      </c>
      <c r="G26" s="425">
        <f t="shared" si="1"/>
        <v>356.71526222067672</v>
      </c>
      <c r="H26" s="427">
        <f t="shared" si="5"/>
        <v>4089.3407146574732</v>
      </c>
      <c r="I26" s="428"/>
      <c r="J26" s="397"/>
      <c r="K26" s="425">
        <f t="shared" si="2"/>
        <v>253.60993464611235</v>
      </c>
      <c r="L26" s="425">
        <f t="shared" si="6"/>
        <v>2907.3536829730115</v>
      </c>
      <c r="M26" s="425">
        <f t="shared" si="3"/>
        <v>480.19362222014166</v>
      </c>
      <c r="N26" s="427">
        <f t="shared" si="7"/>
        <v>5504.8817312696738</v>
      </c>
      <c r="O26" s="425"/>
      <c r="P26" s="427"/>
      <c r="Q26" s="425"/>
      <c r="R26" s="428"/>
      <c r="S26" s="395"/>
      <c r="T26" s="396"/>
      <c r="U26" s="395"/>
    </row>
    <row r="28" spans="2:21" s="401" customFormat="1" ht="18.75" x14ac:dyDescent="0.3">
      <c r="B28" s="941" t="s">
        <v>225</v>
      </c>
      <c r="C28" s="941"/>
      <c r="D28" s="941"/>
      <c r="E28" s="941"/>
      <c r="F28" s="941"/>
      <c r="G28" s="941"/>
      <c r="H28" s="941"/>
      <c r="I28" s="941"/>
      <c r="J28" s="426"/>
      <c r="K28" s="941" t="s">
        <v>226</v>
      </c>
      <c r="L28" s="941"/>
      <c r="M28" s="941"/>
      <c r="N28" s="941"/>
      <c r="O28" s="941"/>
      <c r="P28" s="941"/>
      <c r="Q28" s="941"/>
      <c r="R28" s="941"/>
      <c r="S28" s="419"/>
      <c r="T28" s="419"/>
      <c r="U28" s="419"/>
    </row>
    <row r="29" spans="2:21" ht="15" customHeight="1" x14ac:dyDescent="0.25">
      <c r="D29" s="382" t="s">
        <v>224</v>
      </c>
      <c r="E29" s="382" t="s">
        <v>90</v>
      </c>
      <c r="F29" s="382" t="s">
        <v>89</v>
      </c>
      <c r="G29" s="382" t="s">
        <v>91</v>
      </c>
      <c r="H29" s="382" t="s">
        <v>89</v>
      </c>
      <c r="I29" s="382"/>
      <c r="K29" s="381" t="s">
        <v>90</v>
      </c>
      <c r="L29" s="381" t="s">
        <v>89</v>
      </c>
      <c r="M29" s="381" t="s">
        <v>91</v>
      </c>
      <c r="N29" s="381" t="s">
        <v>89</v>
      </c>
    </row>
    <row r="30" spans="2:21" ht="15" customHeight="1" x14ac:dyDescent="0.25">
      <c r="D30" s="382">
        <v>1</v>
      </c>
      <c r="E30" s="425">
        <f t="shared" ref="E30:E39" si="8">$I$9/(1+$D$8)^D30</f>
        <v>72.256325921588044</v>
      </c>
      <c r="F30" s="425">
        <f>E30</f>
        <v>72.256325921588044</v>
      </c>
      <c r="G30" s="425">
        <f t="shared" ref="G30:G39" si="9">$K$9/(1+$D$8)^D30</f>
        <v>744.2401569923569</v>
      </c>
      <c r="H30" s="427">
        <f>G30</f>
        <v>744.2401569923569</v>
      </c>
      <c r="I30" s="425"/>
      <c r="J30" s="397"/>
      <c r="K30" s="425">
        <f t="shared" ref="K30:K39" si="10">$J$9/(1+$D$8)^D30</f>
        <v>79.380189040617864</v>
      </c>
      <c r="L30" s="425">
        <f>K30</f>
        <v>79.380189040617864</v>
      </c>
      <c r="M30" s="425">
        <f t="shared" ref="M30:M39" si="11">$L$9/(1+$D$8)^D30</f>
        <v>817.61594711836415</v>
      </c>
      <c r="N30" s="427">
        <f>M30</f>
        <v>817.61594711836415</v>
      </c>
      <c r="O30" s="425"/>
      <c r="P30" s="425"/>
      <c r="Q30" s="425"/>
      <c r="R30" s="425"/>
      <c r="S30" s="395"/>
      <c r="T30" s="396"/>
      <c r="U30" s="395"/>
    </row>
    <row r="31" spans="2:21" ht="15" customHeight="1" x14ac:dyDescent="0.25">
      <c r="D31" s="382">
        <v>2</v>
      </c>
      <c r="E31" s="425">
        <f t="shared" si="8"/>
        <v>70.151772739405871</v>
      </c>
      <c r="F31" s="425">
        <f>F30+E31</f>
        <v>142.40809866099391</v>
      </c>
      <c r="G31" s="425">
        <f t="shared" si="9"/>
        <v>722.56325921588052</v>
      </c>
      <c r="H31" s="427">
        <f>H30+G31</f>
        <v>1466.8034162082374</v>
      </c>
      <c r="I31" s="425"/>
      <c r="J31" s="397"/>
      <c r="K31" s="425">
        <f t="shared" si="10"/>
        <v>77.068144699629002</v>
      </c>
      <c r="L31" s="425">
        <f>L30+K31</f>
        <v>156.44833374024688</v>
      </c>
      <c r="M31" s="425">
        <f t="shared" si="11"/>
        <v>793.80189040617881</v>
      </c>
      <c r="N31" s="427">
        <f>N30+M31</f>
        <v>1611.4178375245428</v>
      </c>
      <c r="O31" s="425"/>
      <c r="P31" s="425"/>
      <c r="Q31" s="425"/>
      <c r="R31" s="425"/>
      <c r="S31" s="395"/>
      <c r="T31" s="396"/>
      <c r="U31" s="395"/>
    </row>
    <row r="32" spans="2:21" ht="15" customHeight="1" x14ac:dyDescent="0.25">
      <c r="D32" s="382">
        <v>3</v>
      </c>
      <c r="E32" s="425">
        <f t="shared" si="8"/>
        <v>68.108517222724146</v>
      </c>
      <c r="F32" s="425">
        <f t="shared" ref="F32:F39" si="12">F31+E32</f>
        <v>210.51661588371806</v>
      </c>
      <c r="G32" s="425">
        <f t="shared" si="9"/>
        <v>701.51772739405874</v>
      </c>
      <c r="H32" s="427">
        <f t="shared" ref="H32:H39" si="13">H31+G32</f>
        <v>2168.3211436022962</v>
      </c>
      <c r="I32" s="428"/>
      <c r="J32" s="397"/>
      <c r="K32" s="425">
        <f t="shared" si="10"/>
        <v>74.823441455950487</v>
      </c>
      <c r="L32" s="425">
        <f t="shared" ref="L32:L39" si="14">L31+K32</f>
        <v>231.27177519619738</v>
      </c>
      <c r="M32" s="425">
        <f t="shared" si="11"/>
        <v>770.68144699629011</v>
      </c>
      <c r="N32" s="427">
        <f t="shared" ref="N32:N39" si="15">N31+M32</f>
        <v>2382.099284520833</v>
      </c>
      <c r="O32" s="425"/>
      <c r="P32" s="427"/>
      <c r="Q32" s="425"/>
      <c r="R32" s="428"/>
      <c r="S32" s="395"/>
      <c r="T32" s="396"/>
      <c r="U32" s="395"/>
    </row>
    <row r="33" spans="2:21" x14ac:dyDescent="0.25">
      <c r="D33" s="382">
        <v>4</v>
      </c>
      <c r="E33" s="425">
        <f t="shared" si="8"/>
        <v>66.124774002644799</v>
      </c>
      <c r="F33" s="425">
        <f t="shared" si="12"/>
        <v>276.64138988636284</v>
      </c>
      <c r="G33" s="425">
        <f t="shared" si="9"/>
        <v>681.08517222724151</v>
      </c>
      <c r="H33" s="427">
        <f t="shared" si="13"/>
        <v>2849.4063158295376</v>
      </c>
      <c r="I33" s="428"/>
      <c r="J33" s="397"/>
      <c r="K33" s="425">
        <f t="shared" si="10"/>
        <v>72.644117918398535</v>
      </c>
      <c r="L33" s="425">
        <f t="shared" si="14"/>
        <v>303.91589311459592</v>
      </c>
      <c r="M33" s="425">
        <f t="shared" si="11"/>
        <v>748.23441455950501</v>
      </c>
      <c r="N33" s="427">
        <f t="shared" si="15"/>
        <v>3130.3336990803382</v>
      </c>
      <c r="O33" s="425"/>
      <c r="P33" s="427"/>
      <c r="Q33" s="425"/>
      <c r="R33" s="428"/>
      <c r="S33" s="395"/>
      <c r="T33" s="396"/>
      <c r="U33" s="395"/>
    </row>
    <row r="34" spans="2:21" x14ac:dyDescent="0.25">
      <c r="D34" s="382">
        <v>5</v>
      </c>
      <c r="E34" s="425">
        <f t="shared" si="8"/>
        <v>64.198809711305643</v>
      </c>
      <c r="F34" s="425">
        <f t="shared" si="12"/>
        <v>340.84019959766852</v>
      </c>
      <c r="G34" s="425">
        <f t="shared" si="9"/>
        <v>661.24774002644813</v>
      </c>
      <c r="H34" s="427">
        <f t="shared" si="13"/>
        <v>3510.6540558559855</v>
      </c>
      <c r="I34" s="428"/>
      <c r="J34" s="397"/>
      <c r="K34" s="425">
        <f t="shared" si="10"/>
        <v>70.528269823687907</v>
      </c>
      <c r="L34" s="425">
        <f t="shared" si="14"/>
        <v>374.44416293828385</v>
      </c>
      <c r="M34" s="425">
        <f t="shared" si="11"/>
        <v>726.44117918398547</v>
      </c>
      <c r="N34" s="427">
        <f t="shared" si="15"/>
        <v>3856.7748782643239</v>
      </c>
      <c r="O34" s="425"/>
      <c r="P34" s="427"/>
      <c r="Q34" s="425"/>
      <c r="R34" s="428"/>
      <c r="S34" s="395"/>
      <c r="T34" s="396"/>
      <c r="U34" s="395"/>
    </row>
    <row r="35" spans="2:21" x14ac:dyDescent="0.25">
      <c r="D35" s="382">
        <v>6</v>
      </c>
      <c r="E35" s="425">
        <f t="shared" si="8"/>
        <v>62.328941467287024</v>
      </c>
      <c r="F35" s="425">
        <f t="shared" si="12"/>
        <v>403.16914106495551</v>
      </c>
      <c r="G35" s="425">
        <f t="shared" si="9"/>
        <v>641.98809711305637</v>
      </c>
      <c r="H35" s="427">
        <f t="shared" si="13"/>
        <v>4152.6421529690415</v>
      </c>
      <c r="I35" s="428"/>
      <c r="J35" s="397"/>
      <c r="K35" s="425">
        <f t="shared" si="10"/>
        <v>68.474048372512527</v>
      </c>
      <c r="L35" s="425">
        <f t="shared" si="14"/>
        <v>442.91821131079638</v>
      </c>
      <c r="M35" s="425">
        <f t="shared" si="11"/>
        <v>705.28269823687901</v>
      </c>
      <c r="N35" s="427">
        <f t="shared" si="15"/>
        <v>4562.0575765012027</v>
      </c>
      <c r="O35" s="425"/>
      <c r="P35" s="427"/>
      <c r="Q35" s="425"/>
      <c r="R35" s="428"/>
      <c r="S35" s="395"/>
      <c r="T35" s="396"/>
      <c r="U35" s="395"/>
    </row>
    <row r="36" spans="2:21" x14ac:dyDescent="0.25">
      <c r="D36" s="382">
        <v>7</v>
      </c>
      <c r="E36" s="425">
        <f t="shared" si="8"/>
        <v>60.513535405133027</v>
      </c>
      <c r="F36" s="425">
        <f t="shared" si="12"/>
        <v>463.68267647008855</v>
      </c>
      <c r="G36" s="425">
        <f t="shared" si="9"/>
        <v>623.28941467287029</v>
      </c>
      <c r="H36" s="427">
        <f t="shared" si="13"/>
        <v>4775.9315676419119</v>
      </c>
      <c r="I36" s="428"/>
      <c r="J36" s="397"/>
      <c r="K36" s="425">
        <f t="shared" si="10"/>
        <v>66.479658614089828</v>
      </c>
      <c r="L36" s="425">
        <f t="shared" si="14"/>
        <v>509.39786992488621</v>
      </c>
      <c r="M36" s="425">
        <f t="shared" si="11"/>
        <v>684.74048372512527</v>
      </c>
      <c r="N36" s="427">
        <f t="shared" si="15"/>
        <v>5246.7980602263278</v>
      </c>
      <c r="O36" s="425"/>
      <c r="P36" s="427"/>
      <c r="Q36" s="425"/>
      <c r="R36" s="428"/>
      <c r="S36" s="395"/>
      <c r="T36" s="396"/>
      <c r="U36" s="395"/>
    </row>
    <row r="37" spans="2:21" x14ac:dyDescent="0.25">
      <c r="D37" s="382">
        <v>8</v>
      </c>
      <c r="E37" s="425">
        <f t="shared" si="8"/>
        <v>58.751005247701976</v>
      </c>
      <c r="F37" s="425">
        <f t="shared" si="12"/>
        <v>522.43368171779048</v>
      </c>
      <c r="G37" s="425">
        <f t="shared" si="9"/>
        <v>605.13535405133041</v>
      </c>
      <c r="H37" s="427">
        <f t="shared" si="13"/>
        <v>5381.066921693242</v>
      </c>
      <c r="I37" s="428"/>
      <c r="J37" s="397"/>
      <c r="K37" s="425">
        <f t="shared" si="10"/>
        <v>64.543357877757117</v>
      </c>
      <c r="L37" s="425">
        <f t="shared" si="14"/>
        <v>573.94122780264331</v>
      </c>
      <c r="M37" s="425">
        <f t="shared" si="11"/>
        <v>664.7965861408984</v>
      </c>
      <c r="N37" s="427">
        <f t="shared" si="15"/>
        <v>5911.5946463672262</v>
      </c>
      <c r="O37" s="425"/>
      <c r="P37" s="427"/>
      <c r="Q37" s="425"/>
      <c r="R37" s="428"/>
      <c r="S37" s="395"/>
      <c r="T37" s="396"/>
      <c r="U37" s="395"/>
    </row>
    <row r="38" spans="2:21" x14ac:dyDescent="0.25">
      <c r="D38" s="382">
        <v>9</v>
      </c>
      <c r="E38" s="425">
        <f t="shared" si="8"/>
        <v>57.039810920099001</v>
      </c>
      <c r="F38" s="425">
        <f t="shared" si="12"/>
        <v>579.47349263788942</v>
      </c>
      <c r="G38" s="425">
        <f t="shared" si="9"/>
        <v>587.51005247701983</v>
      </c>
      <c r="H38" s="427">
        <f t="shared" si="13"/>
        <v>5968.5769741702616</v>
      </c>
      <c r="I38" s="428"/>
      <c r="J38" s="397"/>
      <c r="K38" s="425">
        <f t="shared" si="10"/>
        <v>62.663454250249629</v>
      </c>
      <c r="L38" s="425">
        <f t="shared" si="14"/>
        <v>636.60468205289294</v>
      </c>
      <c r="M38" s="425">
        <f t="shared" si="11"/>
        <v>645.43357877757126</v>
      </c>
      <c r="N38" s="427">
        <f t="shared" si="15"/>
        <v>6557.028225144797</v>
      </c>
      <c r="O38" s="425"/>
      <c r="P38" s="427"/>
      <c r="Q38" s="425"/>
      <c r="R38" s="428"/>
      <c r="S38" s="395"/>
      <c r="T38" s="396"/>
      <c r="U38" s="395"/>
    </row>
    <row r="39" spans="2:21" x14ac:dyDescent="0.25">
      <c r="D39" s="382">
        <v>10</v>
      </c>
      <c r="E39" s="425">
        <f t="shared" si="8"/>
        <v>55.378457203979615</v>
      </c>
      <c r="F39" s="425">
        <f t="shared" si="12"/>
        <v>634.85194984186899</v>
      </c>
      <c r="G39" s="425">
        <f t="shared" si="9"/>
        <v>570.39810920099012</v>
      </c>
      <c r="H39" s="427">
        <f t="shared" si="13"/>
        <v>6538.9750833712515</v>
      </c>
      <c r="I39" s="428"/>
      <c r="J39" s="397"/>
      <c r="K39" s="425">
        <f t="shared" si="10"/>
        <v>60.838305097329737</v>
      </c>
      <c r="L39" s="425">
        <f t="shared" si="14"/>
        <v>697.44298715022273</v>
      </c>
      <c r="M39" s="425">
        <f t="shared" si="11"/>
        <v>626.6345425024964</v>
      </c>
      <c r="N39" s="427">
        <f t="shared" si="15"/>
        <v>7183.6627676472935</v>
      </c>
      <c r="O39" s="425"/>
      <c r="P39" s="427"/>
      <c r="Q39" s="425"/>
      <c r="R39" s="428"/>
      <c r="S39" s="395"/>
      <c r="T39" s="396"/>
      <c r="U39" s="395"/>
    </row>
    <row r="41" spans="2:21" s="401" customFormat="1" ht="18.75" x14ac:dyDescent="0.3">
      <c r="B41" s="941" t="s">
        <v>232</v>
      </c>
      <c r="C41" s="941"/>
      <c r="D41" s="941"/>
      <c r="E41" s="941"/>
      <c r="F41" s="941"/>
      <c r="G41" s="941"/>
      <c r="H41" s="941"/>
      <c r="I41" s="941"/>
      <c r="J41" s="426"/>
      <c r="K41" s="941" t="s">
        <v>227</v>
      </c>
      <c r="L41" s="941"/>
      <c r="M41" s="941"/>
      <c r="N41" s="941"/>
      <c r="O41" s="941"/>
      <c r="P41" s="941"/>
      <c r="Q41" s="941"/>
      <c r="R41" s="941"/>
      <c r="S41" s="419"/>
      <c r="T41" s="419"/>
      <c r="U41" s="419"/>
    </row>
    <row r="42" spans="2:21" ht="15" customHeight="1" x14ac:dyDescent="0.25">
      <c r="D42" s="382" t="s">
        <v>224</v>
      </c>
      <c r="E42" s="382" t="s">
        <v>90</v>
      </c>
      <c r="F42" s="382" t="s">
        <v>89</v>
      </c>
      <c r="G42" s="382" t="s">
        <v>91</v>
      </c>
      <c r="H42" s="382" t="s">
        <v>89</v>
      </c>
      <c r="I42" s="382"/>
      <c r="K42" s="381" t="s">
        <v>90</v>
      </c>
      <c r="L42" s="381" t="s">
        <v>89</v>
      </c>
      <c r="M42" s="381" t="s">
        <v>91</v>
      </c>
      <c r="N42" s="381" t="s">
        <v>89</v>
      </c>
    </row>
    <row r="43" spans="2:21" ht="15" customHeight="1" x14ac:dyDescent="0.25">
      <c r="D43" s="382">
        <v>1</v>
      </c>
      <c r="E43" s="425">
        <f t="shared" ref="E43:E52" si="16">$I$10/(1+$D$8)^D43</f>
        <v>240.15560268980775</v>
      </c>
      <c r="F43" s="425">
        <f>E43</f>
        <v>240.15560268980775</v>
      </c>
      <c r="G43" s="425">
        <f t="shared" ref="G43:G52" si="17">$K$10/(1+$D$8)^D43</f>
        <v>471.70150795290226</v>
      </c>
      <c r="H43" s="427">
        <f>G43</f>
        <v>471.70150795290226</v>
      </c>
      <c r="I43" s="425"/>
      <c r="J43" s="397"/>
      <c r="K43" s="425">
        <f t="shared" ref="K43:K52" si="18">$J$10/(1+$D$8)^D43</f>
        <v>320.20747025307702</v>
      </c>
      <c r="L43" s="425">
        <f>K43</f>
        <v>320.20747025307702</v>
      </c>
      <c r="M43" s="425">
        <f t="shared" ref="M43:M52" si="19">$L$10/(1+$D$8)^D43</f>
        <v>628.93534393720302</v>
      </c>
      <c r="N43" s="427">
        <f>M43</f>
        <v>628.93534393720302</v>
      </c>
      <c r="O43" s="425"/>
      <c r="P43" s="425"/>
      <c r="Q43" s="425"/>
      <c r="R43" s="425"/>
      <c r="S43" s="395"/>
      <c r="T43" s="396"/>
      <c r="U43" s="395"/>
    </row>
    <row r="44" spans="2:21" ht="15" customHeight="1" x14ac:dyDescent="0.25">
      <c r="D44" s="382">
        <v>2</v>
      </c>
      <c r="E44" s="425">
        <f t="shared" si="16"/>
        <v>233.16077931049298</v>
      </c>
      <c r="F44" s="425">
        <f t="shared" ref="F44:F52" si="20">F43+E44</f>
        <v>473.31638200030073</v>
      </c>
      <c r="G44" s="425">
        <f t="shared" si="17"/>
        <v>457.96262908048766</v>
      </c>
      <c r="H44" s="427">
        <f t="shared" ref="H44:H52" si="21">H43+G44</f>
        <v>929.66413703338992</v>
      </c>
      <c r="I44" s="425"/>
      <c r="J44" s="397"/>
      <c r="K44" s="425">
        <f t="shared" si="18"/>
        <v>310.88103908065733</v>
      </c>
      <c r="L44" s="425">
        <f>L43+K44</f>
        <v>631.08850933373435</v>
      </c>
      <c r="M44" s="425">
        <f t="shared" si="19"/>
        <v>610.61683877398355</v>
      </c>
      <c r="N44" s="427">
        <f>N43+M44</f>
        <v>1239.5521827111866</v>
      </c>
      <c r="O44" s="425"/>
      <c r="P44" s="425"/>
      <c r="Q44" s="425"/>
      <c r="R44" s="425"/>
      <c r="S44" s="395"/>
      <c r="T44" s="396"/>
      <c r="U44" s="395"/>
    </row>
    <row r="45" spans="2:21" ht="15" customHeight="1" x14ac:dyDescent="0.25">
      <c r="D45" s="382">
        <v>3</v>
      </c>
      <c r="E45" s="425">
        <f t="shared" si="16"/>
        <v>226.36968865096404</v>
      </c>
      <c r="F45" s="425">
        <f t="shared" si="20"/>
        <v>699.6860706512648</v>
      </c>
      <c r="G45" s="425">
        <f t="shared" si="17"/>
        <v>444.6239117286288</v>
      </c>
      <c r="H45" s="427">
        <f t="shared" si="21"/>
        <v>1374.2880487620187</v>
      </c>
      <c r="I45" s="428"/>
      <c r="J45" s="397"/>
      <c r="K45" s="425">
        <f t="shared" si="18"/>
        <v>301.82625153461873</v>
      </c>
      <c r="L45" s="425">
        <f t="shared" ref="L45:L52" si="22">L44+K45</f>
        <v>932.91476086835314</v>
      </c>
      <c r="M45" s="425">
        <f t="shared" si="19"/>
        <v>592.83188230483836</v>
      </c>
      <c r="N45" s="427">
        <f t="shared" ref="N45:N52" si="23">N44+M45</f>
        <v>1832.384065016025</v>
      </c>
      <c r="O45" s="425"/>
      <c r="P45" s="427"/>
      <c r="Q45" s="425"/>
      <c r="R45" s="428"/>
      <c r="S45" s="395"/>
      <c r="T45" s="396"/>
      <c r="U45" s="395"/>
    </row>
    <row r="46" spans="2:21" x14ac:dyDescent="0.25">
      <c r="D46" s="382">
        <v>4</v>
      </c>
      <c r="E46" s="425">
        <f t="shared" si="16"/>
        <v>219.7763967485088</v>
      </c>
      <c r="F46" s="425">
        <f t="shared" si="20"/>
        <v>919.46246739977357</v>
      </c>
      <c r="G46" s="425">
        <f t="shared" si="17"/>
        <v>431.67370070740662</v>
      </c>
      <c r="H46" s="427">
        <f t="shared" si="21"/>
        <v>1805.9617494694253</v>
      </c>
      <c r="I46" s="428"/>
      <c r="J46" s="397"/>
      <c r="K46" s="425">
        <f t="shared" si="18"/>
        <v>293.03519566467838</v>
      </c>
      <c r="L46" s="425">
        <f t="shared" si="22"/>
        <v>1225.9499565330316</v>
      </c>
      <c r="M46" s="425">
        <f t="shared" si="19"/>
        <v>575.5649342765422</v>
      </c>
      <c r="N46" s="427">
        <f t="shared" si="23"/>
        <v>2407.9489992925674</v>
      </c>
      <c r="O46" s="425"/>
      <c r="P46" s="427"/>
      <c r="Q46" s="425"/>
      <c r="R46" s="428"/>
      <c r="S46" s="395"/>
      <c r="T46" s="396"/>
      <c r="U46" s="395"/>
    </row>
    <row r="47" spans="2:21" x14ac:dyDescent="0.25">
      <c r="D47" s="382">
        <v>5</v>
      </c>
      <c r="E47" s="425">
        <f t="shared" si="16"/>
        <v>213.37514247428041</v>
      </c>
      <c r="F47" s="425">
        <f t="shared" si="20"/>
        <v>1132.8376098740539</v>
      </c>
      <c r="G47" s="425">
        <f t="shared" si="17"/>
        <v>419.10068029845303</v>
      </c>
      <c r="H47" s="427">
        <f t="shared" si="21"/>
        <v>2225.0624297678783</v>
      </c>
      <c r="I47" s="428"/>
      <c r="J47" s="397"/>
      <c r="K47" s="425">
        <f t="shared" si="18"/>
        <v>284.50018996570719</v>
      </c>
      <c r="L47" s="425">
        <f t="shared" si="22"/>
        <v>1510.4501464987388</v>
      </c>
      <c r="M47" s="425">
        <f t="shared" si="19"/>
        <v>558.80090706460408</v>
      </c>
      <c r="N47" s="427">
        <f t="shared" si="23"/>
        <v>2966.7499063571713</v>
      </c>
      <c r="O47" s="425"/>
      <c r="P47" s="427"/>
      <c r="Q47" s="425"/>
      <c r="R47" s="428"/>
      <c r="S47" s="395"/>
      <c r="T47" s="396"/>
      <c r="U47" s="395"/>
    </row>
    <row r="48" spans="2:21" x14ac:dyDescent="0.25">
      <c r="D48" s="382">
        <v>6</v>
      </c>
      <c r="E48" s="425">
        <f t="shared" si="16"/>
        <v>207.16033249930135</v>
      </c>
      <c r="F48" s="425">
        <f t="shared" si="20"/>
        <v>1339.9979423733553</v>
      </c>
      <c r="G48" s="425">
        <f t="shared" si="17"/>
        <v>406.89386436743013</v>
      </c>
      <c r="H48" s="427">
        <f t="shared" si="21"/>
        <v>2631.9562941353083</v>
      </c>
      <c r="I48" s="428"/>
      <c r="J48" s="397"/>
      <c r="K48" s="425">
        <f t="shared" si="18"/>
        <v>276.21377666573511</v>
      </c>
      <c r="L48" s="425">
        <f t="shared" si="22"/>
        <v>1786.663923164474</v>
      </c>
      <c r="M48" s="425">
        <f t="shared" si="19"/>
        <v>542.52515248990687</v>
      </c>
      <c r="N48" s="427">
        <f t="shared" si="23"/>
        <v>3509.2750588470781</v>
      </c>
      <c r="O48" s="425"/>
      <c r="P48" s="427"/>
      <c r="Q48" s="425"/>
      <c r="R48" s="428"/>
      <c r="S48" s="395"/>
      <c r="T48" s="396"/>
      <c r="U48" s="395"/>
    </row>
    <row r="49" spans="2:21" x14ac:dyDescent="0.25">
      <c r="D49" s="382">
        <v>7</v>
      </c>
      <c r="E49" s="425">
        <f t="shared" si="16"/>
        <v>201.12653640708868</v>
      </c>
      <c r="F49" s="425">
        <f t="shared" si="20"/>
        <v>1541.124478780444</v>
      </c>
      <c r="G49" s="425">
        <f t="shared" si="17"/>
        <v>395.04258676449524</v>
      </c>
      <c r="H49" s="427">
        <f t="shared" si="21"/>
        <v>3026.9988808998037</v>
      </c>
      <c r="I49" s="428"/>
      <c r="J49" s="397"/>
      <c r="K49" s="425">
        <f t="shared" si="18"/>
        <v>268.16871520945159</v>
      </c>
      <c r="L49" s="425">
        <f t="shared" si="22"/>
        <v>2054.8326383739254</v>
      </c>
      <c r="M49" s="425">
        <f t="shared" si="19"/>
        <v>526.72344901932706</v>
      </c>
      <c r="N49" s="427">
        <f t="shared" si="23"/>
        <v>4035.9985078664049</v>
      </c>
      <c r="O49" s="425"/>
      <c r="P49" s="427"/>
      <c r="Q49" s="425"/>
      <c r="R49" s="428"/>
      <c r="S49" s="395"/>
      <c r="T49" s="396"/>
      <c r="U49" s="395"/>
    </row>
    <row r="50" spans="2:21" x14ac:dyDescent="0.25">
      <c r="D50" s="382">
        <v>8</v>
      </c>
      <c r="E50" s="425">
        <f t="shared" si="16"/>
        <v>195.26848194862981</v>
      </c>
      <c r="F50" s="425">
        <f t="shared" si="20"/>
        <v>1736.3929607290738</v>
      </c>
      <c r="G50" s="425">
        <f t="shared" si="17"/>
        <v>383.53649200436433</v>
      </c>
      <c r="H50" s="427">
        <f t="shared" si="21"/>
        <v>3410.5353729041681</v>
      </c>
      <c r="I50" s="428"/>
      <c r="J50" s="397"/>
      <c r="K50" s="425">
        <f t="shared" si="18"/>
        <v>260.35797593150642</v>
      </c>
      <c r="L50" s="425">
        <f t="shared" si="22"/>
        <v>2315.1906143054321</v>
      </c>
      <c r="M50" s="425">
        <f t="shared" si="19"/>
        <v>511.38198933915248</v>
      </c>
      <c r="N50" s="427">
        <f t="shared" si="23"/>
        <v>4547.3804972055577</v>
      </c>
      <c r="O50" s="425"/>
      <c r="P50" s="427"/>
      <c r="Q50" s="425"/>
      <c r="R50" s="428"/>
      <c r="S50" s="395"/>
      <c r="T50" s="396"/>
      <c r="U50" s="395"/>
    </row>
    <row r="51" spans="2:21" x14ac:dyDescent="0.25">
      <c r="D51" s="382">
        <v>9</v>
      </c>
      <c r="E51" s="425">
        <f t="shared" si="16"/>
        <v>189.5810504355629</v>
      </c>
      <c r="F51" s="425">
        <f t="shared" si="20"/>
        <v>1925.9740111646367</v>
      </c>
      <c r="G51" s="425">
        <f t="shared" si="17"/>
        <v>372.36552621782943</v>
      </c>
      <c r="H51" s="427">
        <f t="shared" si="21"/>
        <v>3782.9008991219976</v>
      </c>
      <c r="I51" s="428"/>
      <c r="J51" s="397"/>
      <c r="K51" s="425">
        <f t="shared" si="18"/>
        <v>252.7747339140839</v>
      </c>
      <c r="L51" s="425">
        <f t="shared" si="22"/>
        <v>2567.9653482195158</v>
      </c>
      <c r="M51" s="425">
        <f t="shared" si="19"/>
        <v>496.48736829043929</v>
      </c>
      <c r="N51" s="427">
        <f t="shared" si="23"/>
        <v>5043.8678654959967</v>
      </c>
      <c r="O51" s="425"/>
      <c r="P51" s="427"/>
      <c r="Q51" s="425"/>
      <c r="R51" s="428"/>
      <c r="S51" s="395"/>
      <c r="T51" s="396"/>
      <c r="U51" s="395"/>
    </row>
    <row r="52" spans="2:21" x14ac:dyDescent="0.25">
      <c r="D52" s="382">
        <v>10</v>
      </c>
      <c r="E52" s="425">
        <f t="shared" si="16"/>
        <v>184.05927226753681</v>
      </c>
      <c r="F52" s="425">
        <f t="shared" si="20"/>
        <v>2110.0332834321734</v>
      </c>
      <c r="G52" s="425">
        <f t="shared" si="17"/>
        <v>361.51992836682473</v>
      </c>
      <c r="H52" s="427">
        <f t="shared" si="21"/>
        <v>4144.4208274888224</v>
      </c>
      <c r="I52" s="428"/>
      <c r="J52" s="397"/>
      <c r="K52" s="425">
        <f t="shared" si="18"/>
        <v>245.41236302338243</v>
      </c>
      <c r="L52" s="425">
        <f t="shared" si="22"/>
        <v>2813.3777112428984</v>
      </c>
      <c r="M52" s="425">
        <f t="shared" si="19"/>
        <v>482.02657115576631</v>
      </c>
      <c r="N52" s="427">
        <f t="shared" si="23"/>
        <v>5525.8944366517626</v>
      </c>
      <c r="O52" s="425"/>
      <c r="P52" s="427"/>
      <c r="Q52" s="425"/>
      <c r="R52" s="428"/>
      <c r="S52" s="395"/>
      <c r="T52" s="396"/>
      <c r="U52" s="395"/>
    </row>
    <row r="54" spans="2:21" s="401" customFormat="1" ht="18.75" x14ac:dyDescent="0.3">
      <c r="B54" s="941" t="s">
        <v>228</v>
      </c>
      <c r="C54" s="941"/>
      <c r="D54" s="941"/>
      <c r="E54" s="941"/>
      <c r="F54" s="941"/>
      <c r="G54" s="941"/>
      <c r="H54" s="941"/>
      <c r="I54" s="941"/>
      <c r="J54" s="426"/>
      <c r="K54" s="941" t="s">
        <v>229</v>
      </c>
      <c r="L54" s="941"/>
      <c r="M54" s="941"/>
      <c r="N54" s="941"/>
      <c r="O54" s="941"/>
      <c r="P54" s="941"/>
      <c r="Q54" s="941"/>
      <c r="R54" s="941"/>
      <c r="S54" s="419"/>
      <c r="T54" s="419"/>
      <c r="U54" s="419"/>
    </row>
    <row r="55" spans="2:21" ht="15" customHeight="1" x14ac:dyDescent="0.25">
      <c r="D55" s="382" t="s">
        <v>224</v>
      </c>
      <c r="E55" s="382" t="s">
        <v>90</v>
      </c>
      <c r="F55" s="382" t="s">
        <v>89</v>
      </c>
      <c r="G55" s="382" t="s">
        <v>91</v>
      </c>
      <c r="H55" s="382" t="s">
        <v>89</v>
      </c>
      <c r="I55" s="382"/>
      <c r="K55" s="381" t="s">
        <v>90</v>
      </c>
      <c r="L55" s="381" t="s">
        <v>89</v>
      </c>
      <c r="M55" s="381" t="s">
        <v>91</v>
      </c>
      <c r="N55" s="381" t="s">
        <v>89</v>
      </c>
    </row>
    <row r="56" spans="2:21" ht="15" customHeight="1" x14ac:dyDescent="0.25">
      <c r="D56" s="382">
        <v>1</v>
      </c>
      <c r="E56" s="425">
        <f t="shared" ref="E56:E65" si="24">$I$11/(1+$D$8)^D56</f>
        <v>302.67513426977899</v>
      </c>
      <c r="F56" s="425">
        <f>E56</f>
        <v>302.67513426977899</v>
      </c>
      <c r="G56" s="425">
        <f t="shared" ref="G56:G65" si="25">$K$11/(1+$D$8)^D56</f>
        <v>550.3184259450527</v>
      </c>
      <c r="H56" s="427">
        <f>G56</f>
        <v>550.3184259450527</v>
      </c>
      <c r="I56" s="425"/>
      <c r="J56" s="397"/>
      <c r="K56" s="425">
        <f t="shared" ref="K56:K65" si="26">$J$11/(1+$D$8)^D56</f>
        <v>403.56684569303877</v>
      </c>
      <c r="L56" s="425">
        <f>K56</f>
        <v>403.56684569303877</v>
      </c>
      <c r="M56" s="425">
        <f>$L$8/(1+$D$8)^D56</f>
        <v>626.54376131867161</v>
      </c>
      <c r="N56" s="427">
        <f>M56</f>
        <v>626.54376131867161</v>
      </c>
      <c r="O56" s="425"/>
      <c r="P56" s="425"/>
      <c r="Q56" s="425"/>
      <c r="R56" s="425"/>
      <c r="S56" s="395"/>
      <c r="T56" s="396"/>
      <c r="U56" s="395"/>
    </row>
    <row r="57" spans="2:21" ht="15" customHeight="1" x14ac:dyDescent="0.25">
      <c r="D57" s="382">
        <v>2</v>
      </c>
      <c r="E57" s="425">
        <f t="shared" si="24"/>
        <v>293.85935365997966</v>
      </c>
      <c r="F57" s="425">
        <f>F56+E57</f>
        <v>596.5344879297586</v>
      </c>
      <c r="G57" s="425">
        <f t="shared" si="25"/>
        <v>534.2897339272356</v>
      </c>
      <c r="H57" s="427">
        <f>H56+G57</f>
        <v>1084.6081598722883</v>
      </c>
      <c r="I57" s="425"/>
      <c r="J57" s="397"/>
      <c r="K57" s="425">
        <f t="shared" si="26"/>
        <v>391.81247154663959</v>
      </c>
      <c r="L57" s="425">
        <f>L56+K57</f>
        <v>795.37931723967836</v>
      </c>
      <c r="M57" s="425">
        <f t="shared" ref="M57:M65" si="27">$L$11/(1+$D$8)^D57</f>
        <v>712.38631190298088</v>
      </c>
      <c r="N57" s="427">
        <f>N56+M57</f>
        <v>1338.9300732216525</v>
      </c>
      <c r="O57" s="425"/>
      <c r="P57" s="425"/>
      <c r="Q57" s="425"/>
      <c r="R57" s="425"/>
      <c r="S57" s="395"/>
      <c r="T57" s="396"/>
      <c r="U57" s="395"/>
    </row>
    <row r="58" spans="2:21" ht="15" customHeight="1" x14ac:dyDescent="0.25">
      <c r="D58" s="382">
        <v>3</v>
      </c>
      <c r="E58" s="425">
        <f t="shared" si="24"/>
        <v>285.30034335920351</v>
      </c>
      <c r="F58" s="425">
        <f t="shared" ref="F58:F65" si="28">F57+E58</f>
        <v>881.83483128896205</v>
      </c>
      <c r="G58" s="425">
        <f t="shared" si="25"/>
        <v>518.72789701673366</v>
      </c>
      <c r="H58" s="427">
        <f t="shared" ref="H58:H65" si="29">H57+G58</f>
        <v>1603.3360568890221</v>
      </c>
      <c r="I58" s="428"/>
      <c r="J58" s="397"/>
      <c r="K58" s="425">
        <f t="shared" si="26"/>
        <v>380.40045781227144</v>
      </c>
      <c r="L58" s="425">
        <f t="shared" ref="L58:L65" si="30">L57+K58</f>
        <v>1175.7797750519499</v>
      </c>
      <c r="M58" s="425">
        <f t="shared" si="27"/>
        <v>691.63719602231151</v>
      </c>
      <c r="N58" s="427">
        <f t="shared" ref="N58:N65" si="31">N57+M58</f>
        <v>2030.5672692439639</v>
      </c>
      <c r="O58" s="425"/>
      <c r="P58" s="427"/>
      <c r="Q58" s="425"/>
      <c r="R58" s="428"/>
      <c r="S58" s="395"/>
      <c r="T58" s="396"/>
      <c r="U58" s="395"/>
    </row>
    <row r="59" spans="2:21" x14ac:dyDescent="0.25">
      <c r="D59" s="382">
        <v>4</v>
      </c>
      <c r="E59" s="425">
        <f t="shared" si="24"/>
        <v>276.990624620586</v>
      </c>
      <c r="F59" s="425">
        <f t="shared" si="28"/>
        <v>1158.8254559095481</v>
      </c>
      <c r="G59" s="425">
        <f t="shared" si="25"/>
        <v>503.61931749197441</v>
      </c>
      <c r="H59" s="427">
        <f t="shared" si="29"/>
        <v>2106.9553743809965</v>
      </c>
      <c r="I59" s="428"/>
      <c r="J59" s="397"/>
      <c r="K59" s="425">
        <f t="shared" si="26"/>
        <v>369.32083282744804</v>
      </c>
      <c r="L59" s="425">
        <f t="shared" si="30"/>
        <v>1545.100607879398</v>
      </c>
      <c r="M59" s="425">
        <f t="shared" si="27"/>
        <v>671.49242332263259</v>
      </c>
      <c r="N59" s="427">
        <f t="shared" si="31"/>
        <v>2702.0596925665964</v>
      </c>
      <c r="O59" s="425"/>
      <c r="P59" s="427"/>
      <c r="Q59" s="425"/>
      <c r="R59" s="428"/>
      <c r="S59" s="395"/>
      <c r="T59" s="396"/>
      <c r="U59" s="395"/>
    </row>
    <row r="60" spans="2:21" x14ac:dyDescent="0.25">
      <c r="D60" s="382">
        <v>5</v>
      </c>
      <c r="E60" s="425">
        <f t="shared" si="24"/>
        <v>268.92293652484079</v>
      </c>
      <c r="F60" s="425">
        <f t="shared" si="28"/>
        <v>1427.7483924343887</v>
      </c>
      <c r="G60" s="425">
        <f t="shared" si="25"/>
        <v>488.95079368152858</v>
      </c>
      <c r="H60" s="427">
        <f t="shared" si="29"/>
        <v>2595.906168062525</v>
      </c>
      <c r="I60" s="428"/>
      <c r="J60" s="397"/>
      <c r="K60" s="425">
        <f t="shared" si="26"/>
        <v>358.56391536645441</v>
      </c>
      <c r="L60" s="425">
        <f t="shared" si="30"/>
        <v>1903.6645232458525</v>
      </c>
      <c r="M60" s="425">
        <f t="shared" si="27"/>
        <v>651.93439157537148</v>
      </c>
      <c r="N60" s="427">
        <f t="shared" si="31"/>
        <v>3353.994084141968</v>
      </c>
      <c r="O60" s="425"/>
      <c r="P60" s="427"/>
      <c r="Q60" s="425"/>
      <c r="R60" s="428"/>
      <c r="S60" s="395"/>
      <c r="T60" s="396"/>
      <c r="U60" s="395"/>
    </row>
    <row r="61" spans="2:21" x14ac:dyDescent="0.25">
      <c r="D61" s="382">
        <v>6</v>
      </c>
      <c r="E61" s="425">
        <f t="shared" si="24"/>
        <v>261.09022963576774</v>
      </c>
      <c r="F61" s="425">
        <f t="shared" si="28"/>
        <v>1688.8386220701564</v>
      </c>
      <c r="G61" s="425">
        <f t="shared" si="25"/>
        <v>474.70950842866853</v>
      </c>
      <c r="H61" s="427">
        <f t="shared" si="29"/>
        <v>3070.6156764911934</v>
      </c>
      <c r="I61" s="428"/>
      <c r="J61" s="397"/>
      <c r="K61" s="425">
        <f t="shared" si="26"/>
        <v>348.12030618102369</v>
      </c>
      <c r="L61" s="425">
        <f t="shared" si="30"/>
        <v>2251.7848294268761</v>
      </c>
      <c r="M61" s="425">
        <f t="shared" si="27"/>
        <v>632.94601123822474</v>
      </c>
      <c r="N61" s="427">
        <f t="shared" si="31"/>
        <v>3986.9400953801928</v>
      </c>
      <c r="O61" s="425"/>
      <c r="P61" s="427"/>
      <c r="Q61" s="425"/>
      <c r="R61" s="428"/>
      <c r="S61" s="395"/>
      <c r="T61" s="396"/>
      <c r="U61" s="395"/>
    </row>
    <row r="62" spans="2:21" x14ac:dyDescent="0.25">
      <c r="D62" s="382">
        <v>7</v>
      </c>
      <c r="E62" s="425">
        <f t="shared" si="24"/>
        <v>253.48565984055116</v>
      </c>
      <c r="F62" s="425">
        <f t="shared" si="28"/>
        <v>1942.3242819107074</v>
      </c>
      <c r="G62" s="425">
        <f t="shared" si="25"/>
        <v>460.88301789191115</v>
      </c>
      <c r="H62" s="427">
        <f t="shared" si="29"/>
        <v>3531.4986943831045</v>
      </c>
      <c r="I62" s="428"/>
      <c r="J62" s="397"/>
      <c r="K62" s="425">
        <f t="shared" si="26"/>
        <v>337.98087978740165</v>
      </c>
      <c r="L62" s="425">
        <f t="shared" si="30"/>
        <v>2589.7657092142776</v>
      </c>
      <c r="M62" s="425">
        <f t="shared" si="27"/>
        <v>614.5106905225482</v>
      </c>
      <c r="N62" s="427">
        <f t="shared" si="31"/>
        <v>4601.4507859027408</v>
      </c>
      <c r="O62" s="425"/>
      <c r="P62" s="427"/>
      <c r="Q62" s="425"/>
      <c r="R62" s="428"/>
      <c r="S62" s="395"/>
      <c r="T62" s="396"/>
      <c r="U62" s="395"/>
    </row>
    <row r="63" spans="2:21" x14ac:dyDescent="0.25">
      <c r="D63" s="382">
        <v>8</v>
      </c>
      <c r="E63" s="425">
        <f t="shared" si="24"/>
        <v>246.1025823694672</v>
      </c>
      <c r="F63" s="425">
        <f t="shared" si="28"/>
        <v>2188.4268642801744</v>
      </c>
      <c r="G63" s="425">
        <f t="shared" si="25"/>
        <v>447.45924067175844</v>
      </c>
      <c r="H63" s="427">
        <f t="shared" si="29"/>
        <v>3978.9579350548629</v>
      </c>
      <c r="I63" s="428"/>
      <c r="J63" s="397"/>
      <c r="K63" s="425">
        <f t="shared" si="26"/>
        <v>328.13677649262297</v>
      </c>
      <c r="L63" s="425">
        <f t="shared" si="30"/>
        <v>2917.9024857069007</v>
      </c>
      <c r="M63" s="425">
        <f t="shared" si="27"/>
        <v>596.61232089567795</v>
      </c>
      <c r="N63" s="427">
        <f t="shared" si="31"/>
        <v>5198.0631067984186</v>
      </c>
      <c r="O63" s="425"/>
      <c r="P63" s="427"/>
      <c r="Q63" s="425"/>
      <c r="R63" s="428"/>
      <c r="S63" s="395"/>
      <c r="T63" s="396"/>
      <c r="U63" s="395"/>
    </row>
    <row r="64" spans="2:21" x14ac:dyDescent="0.25">
      <c r="D64" s="382">
        <v>9</v>
      </c>
      <c r="E64" s="425">
        <f t="shared" si="24"/>
        <v>238.93454598977397</v>
      </c>
      <c r="F64" s="425">
        <f t="shared" si="28"/>
        <v>2427.3614102699485</v>
      </c>
      <c r="G64" s="425">
        <f t="shared" si="25"/>
        <v>434.42644725413442</v>
      </c>
      <c r="H64" s="427">
        <f t="shared" si="29"/>
        <v>4413.3843823089974</v>
      </c>
      <c r="I64" s="428"/>
      <c r="J64" s="397"/>
      <c r="K64" s="425">
        <f t="shared" si="26"/>
        <v>318.57939465303201</v>
      </c>
      <c r="L64" s="425">
        <f t="shared" si="30"/>
        <v>3236.4818803599328</v>
      </c>
      <c r="M64" s="425">
        <f t="shared" si="27"/>
        <v>579.23526300551259</v>
      </c>
      <c r="N64" s="427">
        <f t="shared" si="31"/>
        <v>5777.2983698039316</v>
      </c>
      <c r="O64" s="425"/>
      <c r="P64" s="427"/>
      <c r="Q64" s="425"/>
      <c r="R64" s="428"/>
      <c r="S64" s="395"/>
      <c r="T64" s="396"/>
      <c r="U64" s="395"/>
    </row>
    <row r="65" spans="2:21" x14ac:dyDescent="0.25">
      <c r="D65" s="382">
        <v>10</v>
      </c>
      <c r="E65" s="425">
        <f t="shared" si="24"/>
        <v>231.97528736871257</v>
      </c>
      <c r="F65" s="425">
        <f t="shared" si="28"/>
        <v>2659.336697638661</v>
      </c>
      <c r="G65" s="425">
        <f t="shared" si="25"/>
        <v>421.77324976129552</v>
      </c>
      <c r="H65" s="427">
        <f t="shared" si="29"/>
        <v>4835.1576320702925</v>
      </c>
      <c r="I65" s="428"/>
      <c r="J65" s="397"/>
      <c r="K65" s="425">
        <f t="shared" si="26"/>
        <v>309.30038315828352</v>
      </c>
      <c r="L65" s="425">
        <f t="shared" si="30"/>
        <v>3545.7822635182165</v>
      </c>
      <c r="M65" s="425">
        <f t="shared" si="27"/>
        <v>562.36433301506077</v>
      </c>
      <c r="N65" s="427">
        <f t="shared" si="31"/>
        <v>6339.6627028189923</v>
      </c>
      <c r="O65" s="425"/>
      <c r="P65" s="427"/>
      <c r="Q65" s="425"/>
      <c r="R65" s="428"/>
      <c r="S65" s="395"/>
      <c r="T65" s="396"/>
      <c r="U65" s="395"/>
    </row>
    <row r="67" spans="2:21" s="401" customFormat="1" ht="18.75" x14ac:dyDescent="0.3">
      <c r="B67" s="941" t="s">
        <v>230</v>
      </c>
      <c r="C67" s="941"/>
      <c r="D67" s="941"/>
      <c r="E67" s="941"/>
      <c r="F67" s="941"/>
      <c r="G67" s="941"/>
      <c r="H67" s="941"/>
      <c r="I67" s="941"/>
      <c r="J67" s="426"/>
      <c r="K67" s="941" t="s">
        <v>231</v>
      </c>
      <c r="L67" s="941"/>
      <c r="M67" s="941"/>
      <c r="N67" s="941"/>
      <c r="O67" s="941"/>
      <c r="P67" s="941"/>
      <c r="Q67" s="941"/>
      <c r="R67" s="941"/>
      <c r="S67" s="419"/>
      <c r="T67" s="419"/>
      <c r="U67" s="419"/>
    </row>
    <row r="68" spans="2:21" ht="15" customHeight="1" x14ac:dyDescent="0.25">
      <c r="D68" s="382" t="s">
        <v>224</v>
      </c>
      <c r="E68" s="382" t="s">
        <v>90</v>
      </c>
      <c r="F68" s="382" t="s">
        <v>89</v>
      </c>
      <c r="G68" s="382" t="s">
        <v>91</v>
      </c>
      <c r="H68" s="382" t="s">
        <v>89</v>
      </c>
      <c r="I68" s="382"/>
      <c r="K68" s="381" t="s">
        <v>90</v>
      </c>
      <c r="L68" s="381" t="s">
        <v>89</v>
      </c>
      <c r="M68" s="381" t="s">
        <v>91</v>
      </c>
      <c r="N68" s="381" t="s">
        <v>89</v>
      </c>
    </row>
    <row r="69" spans="2:21" ht="15" customHeight="1" x14ac:dyDescent="0.25">
      <c r="D69" s="382">
        <v>1</v>
      </c>
      <c r="E69" s="425">
        <f t="shared" ref="E69:E78" si="32">$I$12/(1+$D$8)^D69</f>
        <v>36.270640223174631</v>
      </c>
      <c r="F69" s="425">
        <f>E69</f>
        <v>36.270640223174631</v>
      </c>
      <c r="G69" s="425">
        <f t="shared" ref="G69:G78" si="33">$K$12/(1+$D$8)^D69</f>
        <v>448.90514597200701</v>
      </c>
      <c r="H69" s="427">
        <f>G69</f>
        <v>448.90514597200701</v>
      </c>
      <c r="I69" s="425"/>
      <c r="J69" s="397"/>
      <c r="K69" s="425">
        <f t="shared" ref="K69:K78" si="34">$J$12/(1+$D$8)^D69</f>
        <v>52.757294870072187</v>
      </c>
      <c r="L69" s="425">
        <f>K69</f>
        <v>52.757294870072187</v>
      </c>
      <c r="M69" s="425">
        <f t="shared" ref="M69:M78" si="35">$L$12/(1+$D$8)^D69</f>
        <v>652.95293959564651</v>
      </c>
      <c r="N69" s="427">
        <f>M69</f>
        <v>652.95293959564651</v>
      </c>
      <c r="O69" s="425"/>
      <c r="P69" s="425"/>
      <c r="Q69" s="425"/>
      <c r="R69" s="425"/>
      <c r="S69" s="395"/>
      <c r="T69" s="396"/>
      <c r="U69" s="395"/>
    </row>
    <row r="70" spans="2:21" ht="15" customHeight="1" x14ac:dyDescent="0.25">
      <c r="D70" s="382">
        <v>2</v>
      </c>
      <c r="E70" s="425">
        <f t="shared" si="32"/>
        <v>35.214213808907409</v>
      </c>
      <c r="F70" s="425">
        <f>F69+E70</f>
        <v>71.48485403208204</v>
      </c>
      <c r="G70" s="425">
        <f t="shared" si="33"/>
        <v>435.83023880777381</v>
      </c>
      <c r="H70" s="427">
        <f>H69+G70</f>
        <v>884.73538477978082</v>
      </c>
      <c r="I70" s="425"/>
      <c r="J70" s="397"/>
      <c r="K70" s="425">
        <f t="shared" si="34"/>
        <v>51.220674631138053</v>
      </c>
      <c r="L70" s="425">
        <f>L69+K70</f>
        <v>103.97796950121024</v>
      </c>
      <c r="M70" s="425">
        <f t="shared" si="35"/>
        <v>633.93489281130735</v>
      </c>
      <c r="N70" s="427">
        <f>N69+M70</f>
        <v>1286.8878324069537</v>
      </c>
      <c r="O70" s="425"/>
      <c r="P70" s="425"/>
      <c r="Q70" s="425"/>
      <c r="R70" s="425"/>
      <c r="S70" s="395"/>
      <c r="T70" s="396"/>
      <c r="U70" s="395"/>
    </row>
    <row r="71" spans="2:21" ht="15" customHeight="1" x14ac:dyDescent="0.25">
      <c r="D71" s="382">
        <v>3</v>
      </c>
      <c r="E71" s="425">
        <f t="shared" si="32"/>
        <v>34.188557096026614</v>
      </c>
      <c r="F71" s="425">
        <f t="shared" ref="F71:F78" si="36">F70+E71</f>
        <v>105.67341112810865</v>
      </c>
      <c r="G71" s="425">
        <f t="shared" si="33"/>
        <v>423.13615418230467</v>
      </c>
      <c r="H71" s="427">
        <f t="shared" ref="H71:H78" si="37">H70+G71</f>
        <v>1307.8715389620854</v>
      </c>
      <c r="I71" s="428"/>
      <c r="J71" s="397"/>
      <c r="K71" s="425">
        <f t="shared" si="34"/>
        <v>49.728810321493249</v>
      </c>
      <c r="L71" s="425">
        <f t="shared" ref="L71:L78" si="38">L70+K71</f>
        <v>153.70677982270348</v>
      </c>
      <c r="M71" s="425">
        <f t="shared" si="35"/>
        <v>615.4707697197158</v>
      </c>
      <c r="N71" s="427">
        <f t="shared" ref="N71:N78" si="39">N70+M71</f>
        <v>1902.3586021266697</v>
      </c>
      <c r="O71" s="425"/>
      <c r="P71" s="427"/>
      <c r="Q71" s="425"/>
      <c r="R71" s="428"/>
      <c r="S71" s="395"/>
      <c r="T71" s="396"/>
      <c r="U71" s="395"/>
    </row>
    <row r="72" spans="2:21" x14ac:dyDescent="0.25">
      <c r="D72" s="382">
        <v>4</v>
      </c>
      <c r="E72" s="425">
        <f t="shared" si="32"/>
        <v>33.192773879637485</v>
      </c>
      <c r="F72" s="425">
        <f t="shared" si="36"/>
        <v>138.86618500774614</v>
      </c>
      <c r="G72" s="425">
        <f t="shared" si="33"/>
        <v>410.81180017699484</v>
      </c>
      <c r="H72" s="427">
        <f t="shared" si="37"/>
        <v>1718.6833391390803</v>
      </c>
      <c r="I72" s="428"/>
      <c r="J72" s="397"/>
      <c r="K72" s="425">
        <f t="shared" si="34"/>
        <v>48.280398370381796</v>
      </c>
      <c r="L72" s="425">
        <f t="shared" si="38"/>
        <v>201.98717819308527</v>
      </c>
      <c r="M72" s="425">
        <f t="shared" si="35"/>
        <v>597.54443662108338</v>
      </c>
      <c r="N72" s="427">
        <f t="shared" si="39"/>
        <v>2499.9030387477533</v>
      </c>
      <c r="O72" s="425"/>
      <c r="P72" s="427"/>
      <c r="Q72" s="425"/>
      <c r="R72" s="428"/>
      <c r="S72" s="395"/>
      <c r="T72" s="396"/>
      <c r="U72" s="395"/>
    </row>
    <row r="73" spans="2:21" x14ac:dyDescent="0.25">
      <c r="D73" s="382">
        <v>5</v>
      </c>
      <c r="E73" s="425">
        <f t="shared" si="32"/>
        <v>32.225994057900479</v>
      </c>
      <c r="F73" s="425">
        <f t="shared" si="36"/>
        <v>171.09217906564663</v>
      </c>
      <c r="G73" s="425">
        <f t="shared" si="33"/>
        <v>398.84640793882994</v>
      </c>
      <c r="H73" s="427">
        <f t="shared" si="37"/>
        <v>2117.5297470779101</v>
      </c>
      <c r="I73" s="428"/>
      <c r="J73" s="397"/>
      <c r="K73" s="425">
        <f t="shared" si="34"/>
        <v>46.874173175127964</v>
      </c>
      <c r="L73" s="425">
        <f t="shared" si="38"/>
        <v>248.86135136821323</v>
      </c>
      <c r="M73" s="425">
        <f t="shared" si="35"/>
        <v>580.14022972920714</v>
      </c>
      <c r="N73" s="427">
        <f t="shared" si="39"/>
        <v>3080.0432684769603</v>
      </c>
      <c r="O73" s="425"/>
      <c r="P73" s="427"/>
      <c r="Q73" s="425"/>
      <c r="R73" s="428"/>
      <c r="S73" s="395"/>
      <c r="T73" s="396"/>
      <c r="U73" s="395"/>
    </row>
    <row r="74" spans="2:21" x14ac:dyDescent="0.25">
      <c r="D74" s="382">
        <v>6</v>
      </c>
      <c r="E74" s="425">
        <f t="shared" si="32"/>
        <v>31.287372871748033</v>
      </c>
      <c r="F74" s="425">
        <f t="shared" si="36"/>
        <v>202.37955193739467</v>
      </c>
      <c r="G74" s="425">
        <f t="shared" si="33"/>
        <v>387.22952227070869</v>
      </c>
      <c r="H74" s="427">
        <f t="shared" si="37"/>
        <v>2504.7592693486185</v>
      </c>
      <c r="I74" s="428"/>
      <c r="J74" s="397"/>
      <c r="K74" s="425">
        <f t="shared" si="34"/>
        <v>45.508905995269863</v>
      </c>
      <c r="L74" s="425">
        <f t="shared" si="38"/>
        <v>294.37025736348312</v>
      </c>
      <c r="M74" s="425">
        <f t="shared" si="35"/>
        <v>563.24294148466709</v>
      </c>
      <c r="N74" s="427">
        <f t="shared" si="39"/>
        <v>3643.2862099616273</v>
      </c>
      <c r="O74" s="425"/>
      <c r="P74" s="427"/>
      <c r="Q74" s="425"/>
      <c r="R74" s="428"/>
      <c r="S74" s="395"/>
      <c r="T74" s="396"/>
      <c r="U74" s="395"/>
    </row>
    <row r="75" spans="2:21" x14ac:dyDescent="0.25">
      <c r="D75" s="382">
        <v>7</v>
      </c>
      <c r="E75" s="425">
        <f t="shared" si="32"/>
        <v>30.376090166745662</v>
      </c>
      <c r="F75" s="425">
        <f t="shared" si="36"/>
        <v>232.75564210414032</v>
      </c>
      <c r="G75" s="425">
        <f t="shared" si="33"/>
        <v>375.95099249583365</v>
      </c>
      <c r="H75" s="427">
        <f t="shared" si="37"/>
        <v>2880.7102618444524</v>
      </c>
      <c r="I75" s="428"/>
      <c r="J75" s="397"/>
      <c r="K75" s="425">
        <f t="shared" si="34"/>
        <v>44.18340387890278</v>
      </c>
      <c r="L75" s="425">
        <f t="shared" si="38"/>
        <v>338.55366124238589</v>
      </c>
      <c r="M75" s="425">
        <f t="shared" si="35"/>
        <v>546.83780726666714</v>
      </c>
      <c r="N75" s="427">
        <f t="shared" si="39"/>
        <v>4190.1240172282942</v>
      </c>
      <c r="O75" s="425"/>
      <c r="P75" s="427"/>
      <c r="Q75" s="425"/>
      <c r="R75" s="428"/>
      <c r="S75" s="395"/>
      <c r="T75" s="396"/>
      <c r="U75" s="395"/>
    </row>
    <row r="76" spans="2:21" x14ac:dyDescent="0.25">
      <c r="D76" s="382">
        <v>8</v>
      </c>
      <c r="E76" s="425">
        <f t="shared" si="32"/>
        <v>29.491349676452103</v>
      </c>
      <c r="F76" s="425">
        <f t="shared" si="36"/>
        <v>262.24699178059245</v>
      </c>
      <c r="G76" s="425">
        <f t="shared" si="33"/>
        <v>365.00096358818803</v>
      </c>
      <c r="H76" s="427">
        <f t="shared" si="37"/>
        <v>3245.7112254326403</v>
      </c>
      <c r="I76" s="428"/>
      <c r="J76" s="397"/>
      <c r="K76" s="425">
        <f t="shared" si="34"/>
        <v>42.896508620293964</v>
      </c>
      <c r="L76" s="425">
        <f t="shared" si="38"/>
        <v>381.45016986267984</v>
      </c>
      <c r="M76" s="425">
        <f t="shared" si="35"/>
        <v>530.91049249190985</v>
      </c>
      <c r="N76" s="427">
        <f t="shared" si="39"/>
        <v>4721.0345097202044</v>
      </c>
      <c r="O76" s="425"/>
      <c r="P76" s="427"/>
      <c r="Q76" s="425"/>
      <c r="R76" s="428"/>
      <c r="S76" s="395"/>
      <c r="T76" s="396"/>
      <c r="U76" s="395"/>
    </row>
    <row r="77" spans="2:21" x14ac:dyDescent="0.25">
      <c r="D77" s="382">
        <v>9</v>
      </c>
      <c r="E77" s="425">
        <f t="shared" si="32"/>
        <v>28.632378326652525</v>
      </c>
      <c r="F77" s="425">
        <f t="shared" si="36"/>
        <v>290.87937010724499</v>
      </c>
      <c r="G77" s="425">
        <f t="shared" si="33"/>
        <v>354.36986756134763</v>
      </c>
      <c r="H77" s="427">
        <f t="shared" si="37"/>
        <v>3600.081092993988</v>
      </c>
      <c r="I77" s="428"/>
      <c r="J77" s="397"/>
      <c r="K77" s="425">
        <f t="shared" si="34"/>
        <v>41.647095747858216</v>
      </c>
      <c r="L77" s="425">
        <f t="shared" si="38"/>
        <v>423.09726561053805</v>
      </c>
      <c r="M77" s="425">
        <f t="shared" si="35"/>
        <v>515.44708008923283</v>
      </c>
      <c r="N77" s="427">
        <f t="shared" si="39"/>
        <v>5236.4815898094375</v>
      </c>
      <c r="O77" s="425"/>
      <c r="P77" s="427"/>
      <c r="Q77" s="425"/>
      <c r="R77" s="428"/>
      <c r="S77" s="395"/>
      <c r="T77" s="396"/>
      <c r="U77" s="395"/>
    </row>
    <row r="78" spans="2:21" x14ac:dyDescent="0.25">
      <c r="D78" s="382">
        <v>10</v>
      </c>
      <c r="E78" s="425">
        <f t="shared" si="32"/>
        <v>27.79842555985682</v>
      </c>
      <c r="F78" s="425">
        <f t="shared" si="36"/>
        <v>318.6777956671018</v>
      </c>
      <c r="G78" s="425">
        <f t="shared" si="33"/>
        <v>344.04841510810445</v>
      </c>
      <c r="H78" s="427">
        <f t="shared" si="37"/>
        <v>3944.1295081020926</v>
      </c>
      <c r="I78" s="428"/>
      <c r="J78" s="397"/>
      <c r="K78" s="425">
        <f t="shared" si="34"/>
        <v>40.434073541609919</v>
      </c>
      <c r="L78" s="425">
        <f t="shared" si="38"/>
        <v>463.53133915214795</v>
      </c>
      <c r="M78" s="425">
        <f t="shared" si="35"/>
        <v>500.43405833906104</v>
      </c>
      <c r="N78" s="427">
        <f t="shared" si="39"/>
        <v>5736.9156481484988</v>
      </c>
      <c r="O78" s="425"/>
      <c r="P78" s="427"/>
      <c r="Q78" s="425"/>
      <c r="R78" s="428"/>
      <c r="S78" s="395"/>
      <c r="T78" s="396"/>
      <c r="U78" s="395"/>
    </row>
  </sheetData>
  <mergeCells count="16">
    <mergeCell ref="B67:I67"/>
    <mergeCell ref="K67:R67"/>
    <mergeCell ref="K28:R28"/>
    <mergeCell ref="B28:I28"/>
    <mergeCell ref="C15:H15"/>
    <mergeCell ref="D1:Q3"/>
    <mergeCell ref="H5:O5"/>
    <mergeCell ref="B41:I41"/>
    <mergeCell ref="K41:R41"/>
    <mergeCell ref="B54:I54"/>
    <mergeCell ref="K54:R54"/>
    <mergeCell ref="K6:L6"/>
    <mergeCell ref="I6:J6"/>
    <mergeCell ref="D10:E10"/>
    <mergeCell ref="C13:C14"/>
    <mergeCell ref="D13:D14"/>
  </mergeCells>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C1:P27"/>
  <sheetViews>
    <sheetView zoomScaleNormal="100" workbookViewId="0"/>
  </sheetViews>
  <sheetFormatPr defaultColWidth="9.140625" defaultRowHeight="15" x14ac:dyDescent="0.25"/>
  <cols>
    <col min="1" max="2" width="9.140625" style="2"/>
    <col min="3" max="3" width="2.5703125" style="2" customWidth="1"/>
    <col min="4" max="4" width="20.7109375" style="2" customWidth="1"/>
    <col min="5" max="6" width="17.28515625" style="2" customWidth="1"/>
    <col min="7" max="7" width="20.28515625" style="2" customWidth="1"/>
    <col min="8" max="8" width="18" style="2" customWidth="1"/>
    <col min="9" max="10" width="22.28515625" style="73" customWidth="1"/>
    <col min="11" max="11" width="21.42578125" style="73" customWidth="1"/>
    <col min="12" max="12" width="21.42578125" style="2" customWidth="1"/>
    <col min="13" max="13" width="15.42578125" style="2" customWidth="1"/>
    <col min="14" max="14" width="22.7109375" style="2" customWidth="1"/>
    <col min="15" max="15" width="21" style="2" customWidth="1"/>
    <col min="16" max="16" width="0.85546875" style="2" customWidth="1"/>
    <col min="17" max="16384" width="9.140625" style="2"/>
  </cols>
  <sheetData>
    <row r="1" spans="3:16" s="1" customFormat="1" ht="25.5" customHeight="1" x14ac:dyDescent="0.25">
      <c r="I1" s="72"/>
      <c r="J1" s="72"/>
      <c r="K1" s="72"/>
    </row>
    <row r="2" spans="3:16" s="77" customFormat="1" ht="46.5" customHeight="1" x14ac:dyDescent="0.25">
      <c r="D2" s="81"/>
      <c r="E2" s="949" t="s">
        <v>420</v>
      </c>
      <c r="F2" s="949"/>
      <c r="G2" s="949"/>
      <c r="H2" s="949"/>
      <c r="I2" s="949"/>
      <c r="J2" s="949"/>
      <c r="K2" s="949"/>
      <c r="L2" s="949"/>
      <c r="M2" s="593"/>
      <c r="N2" s="593"/>
      <c r="O2" s="81"/>
      <c r="P2" s="81"/>
    </row>
    <row r="3" spans="3:16" ht="15.75" thickBot="1" x14ac:dyDescent="0.3"/>
    <row r="4" spans="3:16" ht="19.5" thickBot="1" x14ac:dyDescent="0.35">
      <c r="H4" s="214" t="str">
        <f>Summary!I4</f>
        <v>Age Group</v>
      </c>
      <c r="I4" s="78" t="str">
        <f>Fluoridation!C9</f>
        <v>6 - 60 months</v>
      </c>
      <c r="J4" s="37"/>
      <c r="K4" s="37"/>
      <c r="M4" s="7"/>
    </row>
    <row r="5" spans="3:16" ht="2.25" customHeight="1" thickBot="1" x14ac:dyDescent="0.35">
      <c r="E5" s="68"/>
      <c r="F5" s="68"/>
      <c r="G5" s="68"/>
      <c r="H5" s="68"/>
      <c r="I5" s="69"/>
      <c r="J5" s="69"/>
      <c r="K5" s="69"/>
      <c r="L5" s="7"/>
      <c r="M5" s="7"/>
    </row>
    <row r="6" spans="3:16" ht="19.5" thickBot="1" x14ac:dyDescent="0.35">
      <c r="D6" s="17"/>
      <c r="G6" s="126" t="s">
        <v>16</v>
      </c>
      <c r="H6" s="154">
        <f>Summary!I6</f>
        <v>10</v>
      </c>
      <c r="I6" s="74" t="s">
        <v>15</v>
      </c>
      <c r="J6" s="177">
        <f>Summary!K6</f>
        <v>0.03</v>
      </c>
      <c r="K6" s="69"/>
      <c r="L6" s="7"/>
    </row>
    <row r="7" spans="3:16" ht="12" customHeight="1" x14ac:dyDescent="0.3">
      <c r="E7" s="69"/>
      <c r="F7" s="69"/>
      <c r="G7" s="69"/>
      <c r="H7" s="69"/>
      <c r="I7" s="75"/>
      <c r="J7" s="75"/>
      <c r="K7" s="75"/>
      <c r="L7" s="70"/>
      <c r="M7" s="97"/>
      <c r="N7" s="97"/>
    </row>
    <row r="8" spans="3:16" ht="18.75" customHeight="1" x14ac:dyDescent="0.3">
      <c r="C8" s="235"/>
      <c r="D8" s="852" t="s">
        <v>14</v>
      </c>
      <c r="E8" s="798" t="s">
        <v>62</v>
      </c>
      <c r="F8" s="798"/>
      <c r="G8" s="798"/>
      <c r="H8" s="798"/>
      <c r="I8" s="798"/>
      <c r="J8" s="798"/>
      <c r="K8" s="798"/>
      <c r="L8" s="952"/>
    </row>
    <row r="9" spans="3:16" ht="108" customHeight="1" thickBot="1" x14ac:dyDescent="0.3">
      <c r="C9" s="235"/>
      <c r="D9" s="930"/>
      <c r="E9" s="34" t="s">
        <v>163</v>
      </c>
      <c r="F9" s="251" t="s">
        <v>164</v>
      </c>
      <c r="G9" s="34" t="s">
        <v>186</v>
      </c>
      <c r="H9" s="225" t="s">
        <v>185</v>
      </c>
      <c r="I9" s="249" t="s">
        <v>165</v>
      </c>
      <c r="J9" s="293" t="s">
        <v>166</v>
      </c>
      <c r="K9" s="670" t="s">
        <v>183</v>
      </c>
      <c r="L9" s="671" t="s">
        <v>184</v>
      </c>
    </row>
    <row r="10" spans="3:16" ht="21.75" customHeight="1" x14ac:dyDescent="0.3">
      <c r="C10" s="24"/>
      <c r="D10" s="143" t="str">
        <f>Summary!B11</f>
        <v>Water Fluoridation</v>
      </c>
      <c r="E10" s="318" t="str">
        <f>IF(((Summary!O11-(VLOOKUP($H$6,Discounting!$A$17:$M$27,7,)))/Prevention!F10)&lt;1,"COST SAVING",(((Summary!O11-(VLOOKUP($H$6,Discounting!$A$17:$M$27,7,)))/Prevention!F10)))</f>
        <v>COST SAVING</v>
      </c>
      <c r="F10" s="319" t="str">
        <f>IF(((Summary!O11-(VLOOKUP($H$6,Discounting_Ideal!$A$17:$M$27,7,)))/Prevention!I10)&lt;1,"COST SAVING", (((Summary!O11-(VLOOKUP($H$6,Discounting_Ideal!$A$17:$M$27,7,)))/Prevention!I10)))</f>
        <v>COST SAVING</v>
      </c>
      <c r="G10" s="663" t="str">
        <f>IF(((Summary!Q11-(Prevention!H10*Caries!$N$7))/Prevention!H10)&lt;1,"COST SAVING",((Summary!Q11-(Prevention!H10*Caries!$N$7))/Prevention!H10))</f>
        <v>COST SAVING</v>
      </c>
      <c r="H10" s="588" t="str">
        <f>IF(((Summary!Q11-(Prevention!K10*Caries!$N$7))/Prevention!K10)&lt;1,"COST SAVING",((Summary!Q11-(Prevention!K10*Caries!N7))/Prevention!K10))</f>
        <v>COST SAVING</v>
      </c>
      <c r="I10" s="320" t="str">
        <f>IF(((Summary!O11-(VLOOKUP($H$6,Discounting!$A$17:$M$27,11,) ))/Prevention!F18)&lt;1, "COST SAVING", (((Summary!O11-(VLOOKUP($H$6,Discounting!$A$17:$M$27,11,) ))/Prevention!F18)))</f>
        <v>COST SAVING</v>
      </c>
      <c r="J10" s="667" t="str">
        <f>IF(((Summary!O11-(VLOOKUP($H$6,Discounting!$A$17:$M$27,11,) ))/Prevention!I18)&lt;1, "COST SAVING", (((Summary!O11-(VLOOKUP($H$6,Discounting!$A$17:$M$27,11,) ))/Prevention!I18)))</f>
        <v>COST SAVING</v>
      </c>
      <c r="K10" s="677" t="str">
        <f>IF(((Summary!Q11-(Prevention!H18*FMDR!$N$9))/Prevention!H18)&lt;1, "COST SAVING", (((Summary!Q11-(Prevention!H18*FMDR!$N$9))/Prevention!H18)))</f>
        <v>COST SAVING</v>
      </c>
      <c r="L10" s="678" t="str">
        <f>IF(((Summary!Q11-(Prevention!K18*FMDR!$N$9))/Prevention!K18)&lt;1, "COST SAVING", (((Summary!Q11-(Prevention!K18*FMDR!$N$9))/Prevention!K18)))</f>
        <v>COST SAVING</v>
      </c>
    </row>
    <row r="11" spans="3:16" ht="15" customHeight="1" x14ac:dyDescent="0.3">
      <c r="C11" s="24"/>
      <c r="D11" s="246" t="str">
        <f>Summary!B12</f>
        <v>Dental Sealants</v>
      </c>
      <c r="E11" s="526" t="str">
        <f>IF(((Summary!O12-(VLOOKUP($H$6,Discounting!$A$30:$M$40,7,)))/Prevention!F11)&lt;1,"COST SAVING",(((Summary!O12-(VLOOKUP($H$6,Discounting!$A$30:$M$40,7,)))/Prevention!F11)))</f>
        <v>COST SAVING</v>
      </c>
      <c r="F11" s="658" t="str">
        <f>IF(((Summary!O12-(VLOOKUP($H$6,Discounting_Ideal!$A$30:$M$40,7,)))/Prevention!I11)&lt;1,"COST SAVING",(((Summary!O12-(VLOOKUP($H$6,Discounting_Ideal!$A$30:$M$40,7,)))/Prevention!I11)))</f>
        <v>COST SAVING</v>
      </c>
      <c r="G11" s="660" t="str">
        <f>IF(((Summary!Q12-(Prevention!H11*Caries!$N$7))/Prevention!H11)&lt;1,"COST SAVING",((Summary!Q12-(Prevention!H11*Caries!$N$7))/Prevention!H11))</f>
        <v>COST SAVING</v>
      </c>
      <c r="H11" s="665" t="str">
        <f>IF(((Summary!Q12-(Prevention!K11*Caries!$N$7))/Prevention!K11)&lt;1,"COST SAVING",((Summary!Q12-(Prevention!K11*Caries!N8))/Prevention!K11))</f>
        <v>COST SAVING</v>
      </c>
      <c r="I11" s="666" t="str">
        <f>IF(((Summary!O12-(VLOOKUP($H$6,Discounting!$A$30:$M$40,11,)))/Prevention!F19)&lt;1,"COST SAVING", (((Summary!O12-(VLOOKUP($H$6,Discounting!$A$30:$M$40,11,)))/Prevention!F19)))</f>
        <v>COST SAVING</v>
      </c>
      <c r="J11" s="668" t="str">
        <f>IF(((Summary!O12-(VLOOKUP($H$6,Discounting!$A$30:$M$40,11,)))/Prevention!I19)&lt;1,"COST SAVING", (((Summary!O12-(VLOOKUP($H$6,Discounting!$A$30:$M$40,11,)))/Prevention!I19)))</f>
        <v>COST SAVING</v>
      </c>
      <c r="K11" s="680" t="str">
        <f>IF(((Summary!Q12-(Prevention!H19*FMDR!$N$9))/Prevention!H19)&lt;1, "COST SAVING", (((Summary!Q12-(Prevention!H19*FMDR!$N$9))/Prevention!H19)))</f>
        <v>COST SAVING</v>
      </c>
      <c r="L11" s="679" t="str">
        <f>IF(((Summary!Q12-(Prevention!K19*FMDR!$N$9))/Prevention!K19)&lt;1, "COST SAVING", (((Summary!Q12-(Prevention!K19*FMDR!$N$9))/Prevention!K19)))</f>
        <v>COST SAVING</v>
      </c>
    </row>
    <row r="12" spans="3:16" ht="15" customHeight="1" x14ac:dyDescent="0.3">
      <c r="C12" s="24"/>
      <c r="D12" s="246" t="str">
        <f>Summary!B13</f>
        <v>Fluoride Varnish</v>
      </c>
      <c r="E12" s="323" t="str">
        <f>IF(((Summary!O13-(VLOOKUP($H$6,Discounting!$A$43:$M$53,7,)))/Prevention!F12)&lt;1,"COST SAVING",(((Summary!O13-(VLOOKUP($H$6,Discounting!$A$43:$M$53,7,)))/Prevention!F12)))</f>
        <v>COST SAVING</v>
      </c>
      <c r="F12" s="324" t="str">
        <f>IF(((Summary!O13-(VLOOKUP($H$6,Discounting_Ideal!$A$43:$M$53,7,)))/Prevention!I12)&lt;1,"COST SAVING", (((Summary!O13-(VLOOKUP($H$6,Discounting_Ideal!$A$43:$M$53,7,)))/Prevention!I12)))</f>
        <v>COST SAVING</v>
      </c>
      <c r="G12" s="527" t="str">
        <f>IF(((Summary!Q13-(Prevention!H12*Caries!$N$7))/Prevention!H12)&lt;1,"COST SAVING",((Summary!Q13-(Prevention!H12*Caries!$N$7))/Prevention!H12))</f>
        <v>COST SAVING</v>
      </c>
      <c r="H12" s="659" t="str">
        <f>IF(((Summary!Q13-(Prevention!K12*Caries!$N$7))/Prevention!K12)&lt;1,"COST SAVING",((Summary!Q13-(Prevention!K12*Caries!N9))/Prevention!K12))</f>
        <v>COST SAVING</v>
      </c>
      <c r="I12" s="322" t="str">
        <f>IF(((Summary!O13-(VLOOKUP($H$6,Discounting!$A$43:$M$53,11,)))/Prevention!F20)&lt;1, "COST SAVING", (((Summary!O13-(VLOOKUP($H$6,Discounting!$A$43:$M$53,11,)))/Prevention!F20)))</f>
        <v>COST SAVING</v>
      </c>
      <c r="J12" s="669" t="str">
        <f>IF(((Summary!O13-(VLOOKUP($H$6,Discounting!$A$43:$M$53,11,)))/Prevention!I20)&lt;1, "COST SAVING", (((Summary!O13-(VLOOKUP($H$6,Discounting!$A$43:$M$53,11,)))/Prevention!I20)))</f>
        <v>COST SAVING</v>
      </c>
      <c r="K12" s="681" t="str">
        <f>IF(((Summary!Q13-(Prevention!H20*FMDR!$N$9))/Prevention!H20)&lt;1, "COST SAVING", (((Summary!Q13-(Prevention!H20*FMDR!$N$9))/Prevention!H20)))</f>
        <v>COST SAVING</v>
      </c>
      <c r="L12" s="674" t="str">
        <f>IF(((Summary!Q13-(Prevention!K20*FMDR!$N$9))/Prevention!K20)&lt;1, "COST SAVING", (((Summary!Q13-(Prevention!K20*FMDR!$N$9))/Prevention!K20)))</f>
        <v>COST SAVING</v>
      </c>
    </row>
    <row r="13" spans="3:16" ht="28.5" customHeight="1" x14ac:dyDescent="0.3">
      <c r="C13" s="24"/>
      <c r="D13" s="143" t="str">
        <f>Summary!B14</f>
        <v>Toothbrush/      Toothpaste</v>
      </c>
      <c r="E13" s="526" t="str">
        <f>IF(((Summary!O14-(VLOOKUP($H$6,Discounting!$A$57:$M$67,7,)))/Prevention!F13)&lt;1,"COST SAVING", (((Summary!O14-(VLOOKUP($H$6,Discounting!$A$57:$M$67,7,)))/Prevention!F13)))</f>
        <v>COST SAVING</v>
      </c>
      <c r="F13" s="321" t="str">
        <f>IF(((Summary!O14-(VLOOKUP($H$6,Discounting_Ideal!$A$56:$M$66,7,)))/Prevention!I13)&lt;1,"COST SAVING", (((Summary!O14-(VLOOKUP($H$6,Discounting_Ideal!$A$56:$M$66,7,)))/Prevention!I13)))</f>
        <v>COST SAVING</v>
      </c>
      <c r="G13" s="661" t="str">
        <f>IF(((Summary!Q14-(Prevention!H13*Caries!$N$7))/Prevention!H13)&lt;1,"COST SAVING",((Summary!Q14-(Prevention!H13*Caries!$N$7))/Prevention!H13))</f>
        <v>COST SAVING</v>
      </c>
      <c r="H13" s="664" t="str">
        <f>IF(((Summary!Q14-(Prevention!K13*Caries!$N$7))/Prevention!K13)&lt;1,"COST SAVING",((Summary!Q14-(Prevention!K13*Caries!N10))/Prevention!K13))</f>
        <v>COST SAVING</v>
      </c>
      <c r="I13" s="589" t="str">
        <f>IF(((Summary!O14-(VLOOKUP($H$6,Discounting!$A$57:$M$67,11,)))/Prevention!F21)&lt;1,"COST SAVING",(Summary!O14-(VLOOKUP($H$6,Discounting!$A$57:$M$67,11,)))/Prevention!F21)</f>
        <v>COST SAVING</v>
      </c>
      <c r="J13" s="668" t="str">
        <f>IF(((Summary!O14-(VLOOKUP($H$6,Discounting!$A$57:$M$67,11,)))/Prevention!I21)&lt;1,"COST SAVING",(((Summary!O14-(VLOOKUP($H$6,Discounting!$A$57:$M$67,11,)))/Prevention!I21)))</f>
        <v>COST SAVING</v>
      </c>
      <c r="K13" s="673" t="str">
        <f>IF(((Summary!Q14-(Prevention!H21*FMDR!$N$9))/Prevention!H21)&lt;1, "COST SAVING", (((Summary!Q14-(Prevention!H21*FMDR!$N$9))/Prevention!H21)))</f>
        <v>COST SAVING</v>
      </c>
      <c r="L13" s="674" t="str">
        <f>IF(((Summary!Q14-(Prevention!K21*FMDR!$N$9))/Prevention!K21)&lt;1, "COST SAVING", (((Summary!Q14-(Prevention!K21*FMDR!$N$9))/Prevention!K21)))</f>
        <v>COST SAVING</v>
      </c>
    </row>
    <row r="14" spans="3:16" ht="19.5" thickBot="1" x14ac:dyDescent="0.35">
      <c r="C14" s="24"/>
      <c r="D14" s="210" t="str">
        <f>Summary!B15</f>
        <v>Initial Exam</v>
      </c>
      <c r="E14" s="458" t="str">
        <f>IF(((Summary!O15-(VLOOKUP($H$6,Discounting!$A$70:$M$80,7,)))/Prevention!F14)&lt;1,"COST SAVING", (((Summary!O15-(VLOOKUP($H$6,Discounting!$A$70:$M$80,7,)))/Prevention!F14)))</f>
        <v>COST SAVING</v>
      </c>
      <c r="F14" s="329" t="str">
        <f>IF(((Summary!O15-(VLOOKUP($H$6,Discounting_Ideal!$A$69:$M$79,7,)))/Prevention!I14)&lt;1,"COST SAVING",(((Summary!O15-(VLOOKUP($H$6,Discounting_Ideal!$A$69:$M$79,7,)))/Prevention!I14)))</f>
        <v>COST SAVING</v>
      </c>
      <c r="G14" s="662" t="str">
        <f>IF(((Summary!Q15-(Prevention!H14*Caries!$N$7))/Prevention!H14)&lt;1,"COST SAVING",((Summary!Q15-(Prevention!H14*Caries!$N$7))/Prevention!H14))</f>
        <v>COST SAVING</v>
      </c>
      <c r="H14" s="659" t="str">
        <f>IF(((Summary!Q15-(Prevention!K14*Caries!$N$7))/Prevention!K14)&lt;1,"COST SAVING",((Summary!Q15-(Prevention!K14*Caries!N11))/Prevention!K14))</f>
        <v>COST SAVING</v>
      </c>
      <c r="I14" s="330" t="str">
        <f>IF(((Summary!O15-(VLOOKUP($H$6,Discounting!$A$70:$M$80,11,)))/Prevention!F22)&lt;1, "COST SAVING", (((Summary!O15-(VLOOKUP($H$6,Discounting!$A$70:$M$80,11,)))/Prevention!F22)))</f>
        <v>COST SAVING</v>
      </c>
      <c r="J14" s="330" t="str">
        <f>IF(((Summary!O15-(VLOOKUP($H$6,Discounting!$A$70:$M$80,11,)))/Prevention!I22)&lt;1, "COST SAVING", (((Summary!O15-(VLOOKUP($H$6,Discounting!$A$70:$M$80,11,)))/Prevention!I22)))</f>
        <v>COST SAVING</v>
      </c>
      <c r="K14" s="675" t="str">
        <f>IF(((Summary!Q15-(Prevention!H22*FMDR!$N$9))/Prevention!H22)&lt;1, "COST SAVING", (((Summary!Q15-(Prevention!H22*FMDR!$N$9))/Prevention!H22)))</f>
        <v>COST SAVING</v>
      </c>
      <c r="L14" s="672" t="str">
        <f>IF(((Summary!Q15-(Prevention!K22*FMDR!$N$9))/Prevention!K22)&lt;1, "COST SAVING", (((Summary!Q15-(Prevention!K22*FMDR!$N$9))/Prevention!K22)))</f>
        <v>COST SAVING</v>
      </c>
    </row>
    <row r="15" spans="3:16" ht="15.75" thickTop="1" x14ac:dyDescent="0.25">
      <c r="E15" s="140"/>
      <c r="F15" s="140"/>
      <c r="G15" s="140"/>
      <c r="H15" s="140"/>
      <c r="I15" s="247"/>
      <c r="J15" s="247"/>
      <c r="K15" s="676"/>
      <c r="L15" s="39"/>
      <c r="M15" s="7"/>
    </row>
    <row r="16" spans="3:16" ht="15.75" customHeight="1" x14ac:dyDescent="0.25">
      <c r="C16" s="17"/>
      <c r="D16" s="950" t="s">
        <v>192</v>
      </c>
      <c r="E16" s="950"/>
      <c r="F16" s="950"/>
      <c r="G16" s="950"/>
      <c r="H16" s="950"/>
      <c r="I16" s="951" t="s">
        <v>193</v>
      </c>
      <c r="J16" s="951"/>
      <c r="K16" s="951"/>
      <c r="L16" s="951"/>
      <c r="M16" s="7"/>
    </row>
    <row r="17" spans="3:14" x14ac:dyDescent="0.25">
      <c r="D17" s="950"/>
      <c r="E17" s="950"/>
      <c r="F17" s="950"/>
      <c r="G17" s="950"/>
      <c r="H17" s="950"/>
      <c r="I17" s="951"/>
      <c r="J17" s="951"/>
      <c r="K17" s="951"/>
      <c r="L17" s="951"/>
      <c r="M17" s="7"/>
      <c r="N17" s="7"/>
    </row>
    <row r="18" spans="3:14" x14ac:dyDescent="0.25">
      <c r="C18" s="17"/>
      <c r="L18" s="19"/>
      <c r="M18" s="19"/>
    </row>
    <row r="19" spans="3:14" x14ac:dyDescent="0.25">
      <c r="C19" s="17"/>
    </row>
    <row r="20" spans="3:14" x14ac:dyDescent="0.25">
      <c r="D20" s="361" t="s">
        <v>196</v>
      </c>
      <c r="E20" s="244"/>
      <c r="H20" s="230"/>
      <c r="N20" s="7"/>
    </row>
    <row r="21" spans="3:14" x14ac:dyDescent="0.25">
      <c r="E21" s="17"/>
    </row>
    <row r="22" spans="3:14" x14ac:dyDescent="0.25">
      <c r="H22" s="230"/>
    </row>
    <row r="26" spans="3:14" x14ac:dyDescent="0.25">
      <c r="I26" s="212"/>
    </row>
    <row r="27" spans="3:14" x14ac:dyDescent="0.25">
      <c r="I27" s="212"/>
    </row>
  </sheetData>
  <mergeCells count="5">
    <mergeCell ref="E2:L2"/>
    <mergeCell ref="D16:H17"/>
    <mergeCell ref="I16:L17"/>
    <mergeCell ref="D8:D9"/>
    <mergeCell ref="E8:L8"/>
  </mergeCells>
  <conditionalFormatting sqref="E10:L14">
    <cfRule type="cellIs" dxfId="26" priority="5" operator="equal">
      <formula>"COST SAVING"</formula>
    </cfRule>
    <cfRule type="cellIs" dxfId="25" priority="6" stopIfTrue="1" operator="greaterThanOrEqual">
      <formula>0</formula>
    </cfRule>
    <cfRule type="cellIs" dxfId="24" priority="7" operator="lessThanOrEqual">
      <formula>0</formula>
    </cfRule>
  </conditionalFormatting>
  <conditionalFormatting sqref="H10:H14">
    <cfRule type="cellIs" dxfId="23" priority="2" operator="lessThan">
      <formula>0</formula>
    </cfRule>
  </conditionalFormatting>
  <dataValidations count="5">
    <dataValidation type="list" allowBlank="1" showInputMessage="1" showErrorMessage="1" sqref="E7:H7">
      <formula1>$Z$3:$Z$8</formula1>
    </dataValidation>
    <dataValidation allowBlank="1" showInputMessage="1" showErrorMessage="1" promptTitle="Cost per Carie Averted " prompt="Cost of preventing caries at min and max effectiveness.  Defined as the proportion b/w the difference in Total Program Costs and Total Program Costs Averted and the Total Number of Caries prevented at the specified timeframe." sqref="E10"/>
    <dataValidation allowBlank="1" showInputMessage="1" showErrorMessage="1" promptTitle="Incremental Costs Averted " prompt="Change in costs to avert additional number of outcomes at min &amp; max effect. Reported as a proportion for the differ b/w change in program costs and cost of averting outcomes b/w current and ideal populations and the total number of outcomes averted." sqref="G10:G14"/>
    <dataValidation allowBlank="1" showInputMessage="1" showErrorMessage="1" promptTitle="Cost per GA Proc Averted" prompt="Cost of preventing GA Procedures at min and max effectiveness.  Defined as the proportion b/w the difference in Total Program Costs and Total Program Costs Averted and the Total Number of GA Procedures prevented at the specified timeframe." sqref="I10"/>
    <dataValidation allowBlank="1" showInputMessage="1" showErrorMessage="1" promptTitle="Incremental Cost Averted" prompt="Change in costs to avert additional number of outcomes at min &amp; max effect. Reported as a proportion for the differ b/w change in program costs and cost of averting outcomes b/w current and ideal populations and the total number of outcomes averted." sqref="K10:K14"/>
  </dataValidations>
  <hyperlinks>
    <hyperlink ref="D16:G16" location="Discounting!A1" display="Select here to obtain the full list of calculations"/>
    <hyperlink ref="I16" location="Discounting_Ideal!A1" display="Select here to obtain the full list of calculations for maximum effectiveness"/>
  </hyperlinks>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N22"/>
  <sheetViews>
    <sheetView workbookViewId="0">
      <selection activeCell="B8" sqref="B8:J14"/>
    </sheetView>
  </sheetViews>
  <sheetFormatPr defaultColWidth="9.140625" defaultRowHeight="15" x14ac:dyDescent="0.25"/>
  <cols>
    <col min="1" max="1" width="2.5703125" style="2" customWidth="1"/>
    <col min="2" max="2" width="20.7109375" style="2" customWidth="1"/>
    <col min="3" max="4" width="17.28515625" style="2" customWidth="1"/>
    <col min="5" max="5" width="18.85546875" style="2" customWidth="1"/>
    <col min="6" max="6" width="18.7109375" style="2" customWidth="1"/>
    <col min="7" max="8" width="22.28515625" style="73" customWidth="1"/>
    <col min="9" max="9" width="21.42578125" style="73" customWidth="1"/>
    <col min="10" max="10" width="21.42578125" style="2" customWidth="1"/>
    <col min="11" max="11" width="15.42578125" style="2" customWidth="1"/>
    <col min="12" max="12" width="22.7109375" style="2" customWidth="1"/>
    <col min="13" max="13" width="21" style="2" customWidth="1"/>
    <col min="14" max="14" width="0.85546875" style="2" customWidth="1"/>
    <col min="15" max="16384" width="9.140625" style="2"/>
  </cols>
  <sheetData>
    <row r="1" spans="1:14" s="1" customFormat="1" ht="25.5" customHeight="1" x14ac:dyDescent="0.25">
      <c r="G1" s="72"/>
      <c r="H1" s="72"/>
      <c r="I1" s="72"/>
    </row>
    <row r="2" spans="1:14" s="77" customFormat="1" ht="46.5" customHeight="1" x14ac:dyDescent="0.25">
      <c r="B2" s="81"/>
      <c r="C2" s="81"/>
      <c r="D2" s="81"/>
      <c r="E2" s="81"/>
      <c r="F2" s="81"/>
      <c r="G2" s="275" t="s">
        <v>143</v>
      </c>
      <c r="H2" s="275"/>
      <c r="I2" s="275"/>
      <c r="J2" s="81"/>
      <c r="K2" s="81"/>
      <c r="L2" s="81"/>
      <c r="M2" s="81"/>
      <c r="N2" s="81"/>
    </row>
    <row r="3" spans="1:14" ht="15.75" thickBot="1" x14ac:dyDescent="0.3"/>
    <row r="4" spans="1:14" ht="19.5" thickBot="1" x14ac:dyDescent="0.35">
      <c r="F4" s="248" t="str">
        <f>Summary!I4</f>
        <v>Age Group</v>
      </c>
      <c r="G4" s="78" t="str">
        <f>Fluoridation!C9</f>
        <v>6 - 60 months</v>
      </c>
      <c r="H4" s="37"/>
      <c r="I4" s="37"/>
      <c r="K4" s="7"/>
    </row>
    <row r="5" spans="1:14" ht="2.25" customHeight="1" thickBot="1" x14ac:dyDescent="0.35">
      <c r="C5" s="68"/>
      <c r="D5" s="68"/>
      <c r="E5" s="68"/>
      <c r="F5" s="68"/>
      <c r="G5" s="69"/>
      <c r="H5" s="69"/>
      <c r="I5" s="69"/>
      <c r="J5" s="7"/>
      <c r="K5" s="7"/>
    </row>
    <row r="6" spans="1:14" ht="19.5" thickBot="1" x14ac:dyDescent="0.35">
      <c r="B6" s="17"/>
      <c r="E6" s="126" t="s">
        <v>16</v>
      </c>
      <c r="F6" s="154">
        <f>Summary!I6</f>
        <v>10</v>
      </c>
      <c r="G6" s="74" t="s">
        <v>15</v>
      </c>
      <c r="H6" s="177">
        <f>Summary!K6</f>
        <v>0.03</v>
      </c>
      <c r="I6" s="69"/>
      <c r="J6" s="7"/>
    </row>
    <row r="7" spans="1:14" ht="12" customHeight="1" x14ac:dyDescent="0.3">
      <c r="C7" s="69"/>
      <c r="D7" s="69"/>
      <c r="E7" s="69"/>
      <c r="F7" s="69"/>
      <c r="G7" s="75"/>
      <c r="H7" s="75"/>
      <c r="I7" s="75"/>
      <c r="J7" s="70"/>
      <c r="K7" s="97"/>
      <c r="L7" s="97"/>
    </row>
    <row r="8" spans="1:14" ht="18.75" customHeight="1" x14ac:dyDescent="0.3">
      <c r="B8" s="852" t="s">
        <v>14</v>
      </c>
      <c r="C8" s="798" t="s">
        <v>62</v>
      </c>
      <c r="D8" s="798"/>
      <c r="E8" s="798"/>
      <c r="F8" s="798"/>
      <c r="G8" s="798"/>
      <c r="H8" s="798"/>
      <c r="I8" s="798"/>
      <c r="J8" s="952"/>
    </row>
    <row r="9" spans="1:14" ht="108" customHeight="1" thickBot="1" x14ac:dyDescent="0.3">
      <c r="B9" s="930"/>
      <c r="C9" s="34" t="s">
        <v>163</v>
      </c>
      <c r="D9" s="251" t="s">
        <v>164</v>
      </c>
      <c r="E9" s="34" t="s">
        <v>476</v>
      </c>
      <c r="F9" s="225" t="s">
        <v>195</v>
      </c>
      <c r="G9" s="249" t="s">
        <v>478</v>
      </c>
      <c r="H9" s="293" t="s">
        <v>479</v>
      </c>
      <c r="I9" s="218" t="s">
        <v>480</v>
      </c>
      <c r="J9" s="229" t="s">
        <v>481</v>
      </c>
    </row>
    <row r="10" spans="1:14" ht="31.5" customHeight="1" x14ac:dyDescent="0.3">
      <c r="A10" s="24"/>
      <c r="B10" s="143" t="str">
        <f>Summary!B11</f>
        <v>Water Fluoridation</v>
      </c>
      <c r="C10" s="310">
        <f>(Summary!O11-(VLOOKUP($F$6,Discounting!$A$17:$M$27,7,)))/Prevention!F10</f>
        <v>-1334.6064476035726</v>
      </c>
      <c r="D10" s="298">
        <f>((Summary!O11-(VLOOKUP($F$6,Discounting_Ideal!$A$17:$M$27,7,)))/Prevention!I10)</f>
        <v>-1368.7789077134269</v>
      </c>
      <c r="E10" s="299">
        <f>((Summary!Q11-(Prevention!H10*Caries!N7))/Prevention!H10)</f>
        <v>-849.19014443149661</v>
      </c>
      <c r="F10" s="300">
        <f>((Summary!Q11-(Prevention!K10*Caries!N7))/Prevention!K10)</f>
        <v>-1008.1839396427418</v>
      </c>
      <c r="G10" s="301">
        <f>((Summary!O11-(VLOOKUP($F$6,Discounting!$A$17:$M$27,11,)))/Prevention!F18)</f>
        <v>-8148.7267674461873</v>
      </c>
      <c r="H10" s="301">
        <f>(Summary!O11-(VLOOKUP($F$6,Discounting!$A$17:$M$27,11,) ))/Prevention!I18</f>
        <v>-6053.3398843885952</v>
      </c>
      <c r="I10" s="302">
        <f>(Summary!Q11-(Prevention!H18*FMDR!$N$9))/Prevention!H18</f>
        <v>-3764.9049984263183</v>
      </c>
      <c r="J10" s="520">
        <f>(Summary!Q11-(Prevention!K18*FMDR!$N$9))/Prevention!K18</f>
        <v>-5200.7868508309766</v>
      </c>
    </row>
    <row r="11" spans="1:14" ht="15" customHeight="1" x14ac:dyDescent="0.3">
      <c r="A11" s="24"/>
      <c r="B11" s="246" t="str">
        <f>Summary!B12</f>
        <v>Dental Sealants</v>
      </c>
      <c r="C11" s="303">
        <f>(Summary!O12-(VLOOKUP($F$6,Discounting!$A$30:$M$40,7,)))/Prevention!F11</f>
        <v>-1157.703156853458</v>
      </c>
      <c r="D11" s="304">
        <f>(((Summary!O12-(VLOOKUP($F$6,Discounting_Ideal!$A$30:$M$40,7,)))/Prevention!I11))</f>
        <v>-3386.7544011847758</v>
      </c>
      <c r="E11" s="305">
        <f>(Summary!Q12-(Prevention!H11*Caries!N7))/Prevention!H11</f>
        <v>-892.1445293195186</v>
      </c>
      <c r="F11" s="306">
        <f>(Summary!Q12-(Prevention!K11*Caries!N7))/Prevention!K11</f>
        <v>-943.77893612693981</v>
      </c>
      <c r="G11" s="305">
        <f>(Summary!O12-(VLOOKUP($F$6,Discounting!$A$30:$M$40,11,)))/Prevention!F19</f>
        <v>-6551.103259678066</v>
      </c>
      <c r="H11" s="305">
        <f>(Summary!O12-(VLOOKUP($F$6,Discounting!$A$30:$M$40,11,)))/Prevention!I19</f>
        <v>-5963.1837363736249</v>
      </c>
      <c r="I11" s="519">
        <f>(Summary!Q12-(Prevention!H19*FMDR!$N$9))/Prevention!H19</f>
        <v>-4152.8284495268363</v>
      </c>
      <c r="J11" s="521">
        <f>(Summary!Q12-(Prevention!K19*FMDR!$N$9))/Prevention!K19</f>
        <v>-4619.1416638000701</v>
      </c>
    </row>
    <row r="12" spans="1:14" ht="15" customHeight="1" x14ac:dyDescent="0.3">
      <c r="A12" s="24"/>
      <c r="B12" s="246" t="str">
        <f>Summary!B13</f>
        <v>Fluoride Varnish</v>
      </c>
      <c r="C12" s="308">
        <f>(Summary!O13-(VLOOKUP($F$6,Discounting!$A$43:$M$53,7,)))/Prevention!F12</f>
        <v>-995.27527766683636</v>
      </c>
      <c r="D12" s="309">
        <f>((Summary!O13-(VLOOKUP($F$6,Discounting_Ideal!$A$43:$M$53,7,)))/Prevention!I12)</f>
        <v>-1113.3312952578231</v>
      </c>
      <c r="E12" s="305">
        <f>((Summary!Q13-(Prevention!H12*Caries!N7))/Prevention!H12)</f>
        <v>-814.81098339104358</v>
      </c>
      <c r="F12" s="306">
        <f>(Summary!Q13-(Prevention!K12*Caries!N7))/Prevention!K12</f>
        <v>-977.98307455097824</v>
      </c>
      <c r="G12" s="305">
        <f>(Summary!O13-(VLOOKUP($F$6,Discounting!$A$43:$M$53,11,)))/Prevention!F20</f>
        <v>-5084.2080029243543</v>
      </c>
      <c r="H12" s="305">
        <f>(Summary!O13-(VLOOKUP($F$6,Discounting!$A$43:$M$53,11,)))/Prevention!I20</f>
        <v>-3813.156002193266</v>
      </c>
      <c r="I12" s="307">
        <f>(Summary!Q13-(Prevention!H20*FMDR!N9))/Prevention!H20</f>
        <v>-3454.424873253533</v>
      </c>
      <c r="J12" s="522">
        <f>(Summary!Q13-(Prevention!K20*FMDR!$N$9))/Prevention!K20</f>
        <v>-4928.0411499401489</v>
      </c>
    </row>
    <row r="13" spans="1:14" ht="28.5" customHeight="1" x14ac:dyDescent="0.3">
      <c r="A13" s="24"/>
      <c r="B13" s="143" t="str">
        <f>Summary!B14</f>
        <v>Toothbrush/      Toothpaste</v>
      </c>
      <c r="C13" s="303">
        <f>(Summary!O14-(VLOOKUP($F$6,Discounting!$A$57:$M$67,7,)))/Prevention!F13</f>
        <v>-1096.4375808204604</v>
      </c>
      <c r="D13" s="304">
        <f>((Summary!O14-(VLOOKUP($F$6,Discounting_Ideal!$A$56:$M$66,7,)))/Prevention!I13)</f>
        <v>-1189.2030226230413</v>
      </c>
      <c r="E13" s="305">
        <f>((Summary!Q14-(Prevention!H13*Caries!N7))/Prevention!H13)</f>
        <v>-1096.4375808204604</v>
      </c>
      <c r="F13" s="311">
        <f>(Summary!Q14-(Prevention!K13*Caries!N7))/Prevention!K13</f>
        <v>-1189.2030226230411</v>
      </c>
      <c r="G13" s="305">
        <f>(Summary!O14-(VLOOKUP($F$6,Discounting!$A$57:$M$67,11,)))/Prevention!F21</f>
        <v>-5997.8104177403147</v>
      </c>
      <c r="H13" s="305">
        <f>(Summary!O14-(VLOOKUP($F$6,Discounting!$A$57:$M$67,11,)))/Prevention!I21</f>
        <v>-4498.3578133052351</v>
      </c>
      <c r="I13" s="307">
        <f>(Summary!Q14-(Prevention!H21*FMDR!N9))/Prevention!H21</f>
        <v>-5997.8104177403156</v>
      </c>
      <c r="J13" s="523">
        <f>(Summary!Q14-(Prevention!K21*FMDR!$N$9))/Prevention!K21</f>
        <v>-6835.580308305236</v>
      </c>
    </row>
    <row r="14" spans="1:14" ht="19.5" thickBot="1" x14ac:dyDescent="0.35">
      <c r="A14" s="24"/>
      <c r="B14" s="210" t="str">
        <f>Summary!B15</f>
        <v>Initial Exam</v>
      </c>
      <c r="C14" s="312">
        <f>(Summary!O15-(VLOOKUP($F$6,Discounting!$A$70:$M$80,7,)))/Prevention!F14</f>
        <v>-928.31746732551892</v>
      </c>
      <c r="D14" s="313">
        <f>((Summary!O15-(VLOOKUP($F$6,Discounting_Ideal!$A$69:$M$79,7,)))/Prevention!I14)</f>
        <v>-1096.8118050459138</v>
      </c>
      <c r="E14" s="314">
        <f>((Summary!Q15-(Prevention!H14*Caries!N7))/Prevention!H14)</f>
        <v>-1348.1362404194169</v>
      </c>
      <c r="F14" s="315">
        <f>(Summary!Q15-(Prevention!K14*Caries!N7))/Prevention!K14</f>
        <v>-1385.4372115479689</v>
      </c>
      <c r="G14" s="316">
        <f>(Summary!O15-(VLOOKUP($F$6,Discounting!$A$70:$M$80,11,)))/Prevention!F22</f>
        <v>-4479.5082747487286</v>
      </c>
      <c r="H14" s="316">
        <f>(Summary!O15-(VLOOKUP($F$6,Discounting!$A$70:$M$80,11,)))/Prevention!I22</f>
        <v>-3079.6619388897511</v>
      </c>
      <c r="I14" s="317">
        <f>(Summary!Q15-(Prevention!H22*FMDR!N9))/Prevention!H22</f>
        <v>-8270.9150826898986</v>
      </c>
      <c r="J14" s="524">
        <f>(Summary!Q15-(Prevention!K22*FMDR!$N$9))/Prevention!K22</f>
        <v>-8607.7822380993039</v>
      </c>
    </row>
    <row r="15" spans="1:14" ht="15.75" thickTop="1" x14ac:dyDescent="0.25">
      <c r="F15" s="140"/>
      <c r="G15" s="247"/>
      <c r="H15" s="247"/>
      <c r="I15" s="212"/>
      <c r="J15" s="140"/>
    </row>
    <row r="16" spans="1:14" ht="15" customHeight="1" x14ac:dyDescent="0.25">
      <c r="A16" s="17"/>
      <c r="B16" s="950" t="s">
        <v>192</v>
      </c>
      <c r="C16" s="950"/>
      <c r="D16" s="950"/>
      <c r="E16" s="950"/>
      <c r="F16" s="950"/>
      <c r="G16" s="951" t="s">
        <v>193</v>
      </c>
      <c r="H16" s="951"/>
      <c r="I16" s="951"/>
      <c r="J16" s="951"/>
    </row>
    <row r="17" spans="1:12" ht="15" customHeight="1" x14ac:dyDescent="0.25">
      <c r="B17" s="950"/>
      <c r="C17" s="950"/>
      <c r="D17" s="950"/>
      <c r="E17" s="950"/>
      <c r="F17" s="950"/>
      <c r="G17" s="951"/>
      <c r="H17" s="951"/>
      <c r="I17" s="951"/>
      <c r="J17" s="951"/>
      <c r="L17" s="7"/>
    </row>
    <row r="18" spans="1:12" x14ac:dyDescent="0.25">
      <c r="A18" s="17"/>
      <c r="J18" s="19"/>
      <c r="K18" s="19"/>
    </row>
    <row r="19" spans="1:12" x14ac:dyDescent="0.25">
      <c r="A19" s="17"/>
    </row>
    <row r="20" spans="1:12" x14ac:dyDescent="0.25">
      <c r="B20" s="361" t="s">
        <v>196</v>
      </c>
      <c r="C20" s="244"/>
      <c r="F20" s="230"/>
    </row>
    <row r="22" spans="1:12" x14ac:dyDescent="0.25">
      <c r="F22" s="230"/>
      <c r="J22" s="7"/>
    </row>
  </sheetData>
  <mergeCells count="4">
    <mergeCell ref="B8:B9"/>
    <mergeCell ref="C8:J8"/>
    <mergeCell ref="B16:F17"/>
    <mergeCell ref="G16:J17"/>
  </mergeCells>
  <conditionalFormatting sqref="E10:E14">
    <cfRule type="cellIs" dxfId="22" priority="3" operator="lessThan">
      <formula>1</formula>
    </cfRule>
  </conditionalFormatting>
  <conditionalFormatting sqref="C10:J14">
    <cfRule type="cellIs" dxfId="21" priority="1" operator="lessThan">
      <formula>0</formula>
    </cfRule>
    <cfRule type="cellIs" dxfId="20" priority="2" operator="lessThan">
      <formula>1</formula>
    </cfRule>
  </conditionalFormatting>
  <dataValidations count="4">
    <dataValidation type="list" allowBlank="1" showInputMessage="1" showErrorMessage="1" sqref="C7:F7">
      <formula1>$X$3:$X$8</formula1>
    </dataValidation>
    <dataValidation allowBlank="1" showInputMessage="1" showErrorMessage="1" promptTitle="Cost per Carie Averted" prompt="Cost of preventing caries at min and max effectiveness.  Defined as the proportion b/w the difference in Total Program Costs and Total Program Costs Averted and the Total Number of Caries prevented at the specified timeframe." sqref="C10"/>
    <dataValidation allowBlank="1" showInputMessage="1" showErrorMessage="1" promptTitle="Incremental Costs Averted" prompt="Change in costs to avert additional number of outcomes at min &amp; max effect. Reported as the proportion for the differ b/w change in program costs and cost of averting outcomes b/w current and ideal populations and the number of total outcomes averted." sqref="E10 I10:I11"/>
    <dataValidation allowBlank="1" showInputMessage="1" showErrorMessage="1" promptTitle="Cost per GA Proc Averted" prompt="Cost of preventing caries at min and max effectiveness.  Defined as the proportion b/w the difference in Total Program Costs and Total Program Costs Averted and the Total Number of Caries prevented at the specified timeframe." sqref="G10"/>
  </dataValidations>
  <hyperlinks>
    <hyperlink ref="B16:E16" location="Discounting!A1" display="Select here to obtain the full list of calculations"/>
    <hyperlink ref="G16" location="Discounting_Ideal!A1" display="Select here to obtain the full list of calculations for maximum effectiveness"/>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D1:L28"/>
  <sheetViews>
    <sheetView workbookViewId="0"/>
  </sheetViews>
  <sheetFormatPr defaultColWidth="9.140625" defaultRowHeight="15" x14ac:dyDescent="0.25"/>
  <cols>
    <col min="1" max="1" width="3.28515625" style="2" customWidth="1"/>
    <col min="2" max="4" width="9.140625" style="2"/>
    <col min="5" max="5" width="17.85546875" style="2" customWidth="1"/>
    <col min="6" max="6" width="15.140625" style="2" customWidth="1"/>
    <col min="7" max="7" width="15.7109375" style="2" customWidth="1"/>
    <col min="8" max="8" width="16.7109375" style="2" customWidth="1"/>
    <col min="9" max="9" width="19.140625" style="2" customWidth="1"/>
    <col min="10" max="10" width="20.140625" style="2" customWidth="1"/>
    <col min="11" max="16384" width="9.140625" style="2"/>
  </cols>
  <sheetData>
    <row r="1" spans="4:12" s="1" customFormat="1" ht="25.5" customHeight="1" x14ac:dyDescent="0.25"/>
    <row r="2" spans="4:12" s="3" customFormat="1" ht="45" customHeight="1" x14ac:dyDescent="0.7">
      <c r="E2" s="326"/>
      <c r="F2" s="326"/>
      <c r="G2" s="695" t="s">
        <v>172</v>
      </c>
      <c r="H2" s="695"/>
      <c r="I2" s="695"/>
      <c r="J2" s="695"/>
      <c r="K2" s="695"/>
      <c r="L2" s="695"/>
    </row>
    <row r="3" spans="4:12" x14ac:dyDescent="0.25">
      <c r="G3" s="331" t="s">
        <v>173</v>
      </c>
      <c r="H3" s="331"/>
    </row>
    <row r="5" spans="4:12" ht="18.75" customHeight="1" x14ac:dyDescent="0.25"/>
    <row r="6" spans="4:12" ht="15" customHeight="1" x14ac:dyDescent="0.25">
      <c r="E6" s="17"/>
      <c r="H6" s="696" t="s">
        <v>174</v>
      </c>
      <c r="I6" s="696"/>
      <c r="J6" s="696"/>
      <c r="K6" s="696"/>
      <c r="L6" s="696"/>
    </row>
    <row r="7" spans="4:12" ht="15" customHeight="1" x14ac:dyDescent="0.25">
      <c r="H7" s="696"/>
      <c r="I7" s="696"/>
      <c r="J7" s="696"/>
      <c r="K7" s="696"/>
      <c r="L7" s="696"/>
    </row>
    <row r="8" spans="4:12" ht="15" customHeight="1" x14ac:dyDescent="0.25"/>
    <row r="9" spans="4:12" ht="15" customHeight="1" x14ac:dyDescent="0.25"/>
    <row r="10" spans="4:12" ht="15.75" customHeight="1" x14ac:dyDescent="0.25">
      <c r="H10" s="697" t="s">
        <v>175</v>
      </c>
      <c r="I10" s="697"/>
      <c r="J10" s="697"/>
      <c r="K10" s="697"/>
      <c r="L10" s="697"/>
    </row>
    <row r="11" spans="4:12" ht="18.75" customHeight="1" x14ac:dyDescent="0.25">
      <c r="H11" s="697"/>
      <c r="I11" s="697"/>
      <c r="J11" s="697"/>
      <c r="K11" s="697"/>
      <c r="L11" s="697"/>
    </row>
    <row r="12" spans="4:12" ht="18.75" x14ac:dyDescent="0.3">
      <c r="E12" s="17"/>
      <c r="G12" s="12"/>
      <c r="I12" s="19"/>
    </row>
    <row r="13" spans="4:12" ht="15" customHeight="1" x14ac:dyDescent="0.25">
      <c r="E13" s="17"/>
      <c r="H13" s="697" t="s">
        <v>176</v>
      </c>
      <c r="I13" s="697"/>
      <c r="J13" s="697"/>
      <c r="K13" s="697"/>
      <c r="L13" s="697"/>
    </row>
    <row r="14" spans="4:12" x14ac:dyDescent="0.25">
      <c r="D14" s="153"/>
      <c r="H14" s="697"/>
      <c r="I14" s="697"/>
      <c r="J14" s="697"/>
      <c r="K14" s="697"/>
      <c r="L14" s="697"/>
    </row>
    <row r="17" spans="5:12" x14ac:dyDescent="0.25">
      <c r="H17" s="697" t="s">
        <v>177</v>
      </c>
      <c r="I17" s="697"/>
      <c r="J17" s="697"/>
      <c r="K17" s="697"/>
      <c r="L17" s="697"/>
    </row>
    <row r="18" spans="5:12" x14ac:dyDescent="0.25">
      <c r="H18" s="697"/>
      <c r="I18" s="697"/>
      <c r="J18" s="697"/>
      <c r="K18" s="697"/>
      <c r="L18" s="697"/>
    </row>
    <row r="20" spans="5:12" ht="15.75" thickBot="1" x14ac:dyDescent="0.3"/>
    <row r="21" spans="5:12" ht="15.75" customHeight="1" thickTop="1" x14ac:dyDescent="0.25">
      <c r="E21" s="235"/>
      <c r="F21" s="692"/>
      <c r="H21" s="694" t="s">
        <v>246</v>
      </c>
      <c r="I21" s="694"/>
      <c r="J21" s="694"/>
      <c r="K21" s="694"/>
      <c r="L21" s="694"/>
    </row>
    <row r="22" spans="5:12" ht="15.75" thickBot="1" x14ac:dyDescent="0.3">
      <c r="E22" s="235"/>
      <c r="F22" s="693"/>
      <c r="H22" s="694"/>
      <c r="I22" s="694"/>
      <c r="J22" s="694"/>
      <c r="K22" s="694"/>
      <c r="L22" s="694"/>
    </row>
    <row r="23" spans="5:12" ht="16.5" thickTop="1" thickBot="1" x14ac:dyDescent="0.3"/>
    <row r="24" spans="5:12" ht="15.75" thickTop="1" x14ac:dyDescent="0.25">
      <c r="E24" s="235"/>
      <c r="F24" s="690"/>
      <c r="H24" s="689" t="s">
        <v>178</v>
      </c>
      <c r="I24" s="689"/>
      <c r="J24" s="689"/>
      <c r="K24" s="689"/>
      <c r="L24" s="689"/>
    </row>
    <row r="25" spans="5:12" ht="15.75" thickBot="1" x14ac:dyDescent="0.3">
      <c r="E25" s="235"/>
      <c r="F25" s="691"/>
      <c r="H25" s="689"/>
      <c r="I25" s="689"/>
      <c r="J25" s="689"/>
      <c r="K25" s="689"/>
      <c r="L25" s="689"/>
    </row>
    <row r="26" spans="5:12" ht="15.75" thickTop="1" x14ac:dyDescent="0.25"/>
    <row r="27" spans="5:12" x14ac:dyDescent="0.25">
      <c r="H27" s="689" t="s">
        <v>247</v>
      </c>
      <c r="I27" s="689"/>
      <c r="J27" s="689"/>
      <c r="K27" s="689"/>
      <c r="L27" s="689"/>
    </row>
    <row r="28" spans="5:12" x14ac:dyDescent="0.25">
      <c r="H28" s="689"/>
      <c r="I28" s="689"/>
      <c r="J28" s="689"/>
      <c r="K28" s="689"/>
      <c r="L28" s="689"/>
    </row>
  </sheetData>
  <mergeCells count="10">
    <mergeCell ref="G2:L2"/>
    <mergeCell ref="H6:L7"/>
    <mergeCell ref="H10:L11"/>
    <mergeCell ref="H13:L14"/>
    <mergeCell ref="H17:L18"/>
    <mergeCell ref="H27:L28"/>
    <mergeCell ref="H24:L25"/>
    <mergeCell ref="F24:F25"/>
    <mergeCell ref="F21:F22"/>
    <mergeCell ref="H21:L22"/>
  </mergeCells>
  <pageMargins left="0.7" right="0.7" top="0.75" bottom="0.75" header="0.3" footer="0.3"/>
  <pageSetup orientation="portrait" horizontalDpi="200" verticalDpi="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1:O22"/>
  <sheetViews>
    <sheetView zoomScaleNormal="100" workbookViewId="0"/>
  </sheetViews>
  <sheetFormatPr defaultColWidth="9.140625" defaultRowHeight="15" x14ac:dyDescent="0.25"/>
  <cols>
    <col min="1" max="1" width="5.42578125" style="2" customWidth="1"/>
    <col min="2" max="2" width="20.85546875" style="2" customWidth="1"/>
    <col min="3" max="3" width="17.42578125" style="2" customWidth="1"/>
    <col min="4" max="4" width="17" style="2" customWidth="1"/>
    <col min="5" max="5" width="18.85546875" style="2" customWidth="1"/>
    <col min="6" max="6" width="19.5703125" style="2" customWidth="1"/>
    <col min="7" max="7" width="18" style="2" customWidth="1"/>
    <col min="8" max="8" width="19.7109375" style="73" customWidth="1"/>
    <col min="9" max="9" width="17.28515625" style="73" customWidth="1"/>
    <col min="10" max="10" width="18.42578125" style="73" customWidth="1"/>
    <col min="11" max="11" width="17.85546875" style="2" customWidth="1"/>
    <col min="12" max="12" width="17.7109375" style="2" customWidth="1"/>
    <col min="13" max="13" width="22.7109375" style="2" customWidth="1"/>
    <col min="14" max="14" width="21" style="2" customWidth="1"/>
    <col min="15" max="15" width="0.85546875" style="2" customWidth="1"/>
    <col min="16" max="16384" width="9.140625" style="2"/>
  </cols>
  <sheetData>
    <row r="1" spans="2:15" s="1" customFormat="1" ht="25.5" customHeight="1" x14ac:dyDescent="0.25">
      <c r="H1" s="72"/>
      <c r="I1" s="72"/>
      <c r="J1" s="72"/>
    </row>
    <row r="2" spans="2:15" s="77" customFormat="1" ht="46.5" customHeight="1" x14ac:dyDescent="0.25">
      <c r="D2" s="81"/>
      <c r="E2" s="949" t="s">
        <v>421</v>
      </c>
      <c r="F2" s="949"/>
      <c r="G2" s="949"/>
      <c r="H2" s="949"/>
      <c r="I2" s="949"/>
      <c r="J2" s="949"/>
      <c r="K2" s="949"/>
      <c r="L2" s="593"/>
      <c r="M2" s="593"/>
      <c r="N2" s="81"/>
      <c r="O2" s="81"/>
    </row>
    <row r="3" spans="2:15" ht="15.75" thickBot="1" x14ac:dyDescent="0.3"/>
    <row r="4" spans="2:15" ht="19.5" thickBot="1" x14ac:dyDescent="0.35">
      <c r="G4" s="546" t="str">
        <f>Summary!I4</f>
        <v>Age Group</v>
      </c>
      <c r="H4" s="78" t="str">
        <f>Fluoridation!C9</f>
        <v>6 - 60 months</v>
      </c>
      <c r="I4" s="37"/>
      <c r="J4" s="37"/>
      <c r="L4" s="7"/>
    </row>
    <row r="5" spans="2:15" ht="2.25" customHeight="1" thickBot="1" x14ac:dyDescent="0.35">
      <c r="E5" s="68"/>
      <c r="F5" s="68"/>
      <c r="G5" s="68"/>
      <c r="H5" s="69"/>
      <c r="I5" s="69"/>
      <c r="J5" s="69"/>
      <c r="K5" s="7"/>
      <c r="L5" s="7"/>
    </row>
    <row r="6" spans="2:15" ht="19.5" thickBot="1" x14ac:dyDescent="0.35">
      <c r="D6" s="17"/>
      <c r="F6" s="126" t="s">
        <v>16</v>
      </c>
      <c r="G6" s="154">
        <f>Summary!I6</f>
        <v>10</v>
      </c>
      <c r="H6" s="74" t="s">
        <v>15</v>
      </c>
      <c r="I6" s="177">
        <f>Summary!K6</f>
        <v>0.03</v>
      </c>
      <c r="J6" s="69"/>
      <c r="K6" s="7"/>
    </row>
    <row r="7" spans="2:15" ht="12" customHeight="1" x14ac:dyDescent="0.3">
      <c r="E7" s="69"/>
      <c r="F7" s="69"/>
      <c r="G7" s="69"/>
      <c r="H7" s="75"/>
      <c r="I7" s="75"/>
      <c r="J7" s="75"/>
      <c r="K7" s="70"/>
      <c r="L7" s="97"/>
      <c r="M7" s="97"/>
    </row>
    <row r="8" spans="2:15" ht="18.75" customHeight="1" x14ac:dyDescent="0.3">
      <c r="B8" s="594" t="s">
        <v>14</v>
      </c>
      <c r="C8" s="953" t="s">
        <v>423</v>
      </c>
      <c r="D8" s="954"/>
      <c r="E8" s="954"/>
      <c r="F8" s="954"/>
      <c r="G8" s="954"/>
      <c r="H8" s="954"/>
      <c r="I8" s="798" t="s">
        <v>424</v>
      </c>
      <c r="J8" s="798"/>
      <c r="K8" s="798"/>
      <c r="L8" s="798"/>
    </row>
    <row r="9" spans="2:15" ht="108" customHeight="1" thickBot="1" x14ac:dyDescent="0.3">
      <c r="B9" s="595"/>
      <c r="C9" s="33" t="s">
        <v>425</v>
      </c>
      <c r="D9" s="218" t="s">
        <v>171</v>
      </c>
      <c r="E9" s="261" t="s">
        <v>155</v>
      </c>
      <c r="F9" s="33" t="s">
        <v>148</v>
      </c>
      <c r="G9" s="218" t="s">
        <v>422</v>
      </c>
      <c r="H9" s="602" t="s">
        <v>156</v>
      </c>
      <c r="I9" s="34" t="s">
        <v>163</v>
      </c>
      <c r="J9" s="619" t="s">
        <v>164</v>
      </c>
      <c r="K9" s="620" t="s">
        <v>186</v>
      </c>
      <c r="L9" s="621" t="s">
        <v>185</v>
      </c>
    </row>
    <row r="10" spans="2:15" ht="33" customHeight="1" x14ac:dyDescent="0.25">
      <c r="B10" s="599" t="str">
        <f>Summary!B11</f>
        <v>Water Fluoridation</v>
      </c>
      <c r="C10" s="607">
        <f>VLOOKUP($G$6,'Final Health Outcomes'!$D$16:$N$26,3,)</f>
        <v>2159.7484502085226</v>
      </c>
      <c r="D10" s="607">
        <f>VLOOKUP($G$6,'Final Health Outcomes'!$D$16:$N$26,5,)</f>
        <v>4089.3407146574732</v>
      </c>
      <c r="E10" s="608">
        <f>D10-C10</f>
        <v>1929.5922644489506</v>
      </c>
      <c r="F10" s="607">
        <f>VLOOKUP($G$6,'Final Health Outcomes'!$D$16:$N$26,9,)</f>
        <v>2907.3536829730115</v>
      </c>
      <c r="G10" s="607">
        <f>VLOOKUP($G$6,'Final Health Outcomes'!$D$16:$N$26,11,)</f>
        <v>5504.8817312696738</v>
      </c>
      <c r="H10" s="606">
        <f>G10-F10</f>
        <v>2597.5280482966623</v>
      </c>
      <c r="I10" s="318" t="str">
        <f>IF(((Summary!O11-(VLOOKUP($G$6,'Total Discounting'!$A$19:$Y$28,7)))/C10)&lt;1,"COST SAVING",(((Summary!O11-(VLOOKUP($G$6,'Total Discounting'!$A$19:$Y$27,7)))/C10)))</f>
        <v>COST SAVING</v>
      </c>
      <c r="J10" s="622" t="str">
        <f>IF(((Summary!O11-(VLOOKUP($G$6,'Total Discounting'!$A$19:$Y$28,9)))/F10)&lt;1,"COST SAVING",(((Summary!O11-(VLOOKUP($G$6,'Total Discounting'!$A$19:$Y$27,9)))/F10)))</f>
        <v>COST SAVING</v>
      </c>
      <c r="K10" s="624" t="str">
        <f>IF(((Summary!Q11-(CEA!E10*'Total Discounting'!$J$5))/CEA!E10)&lt;1,"COST SAVING",((Summary!Q11-(CEA!E10*'Total Discounting'!$J$5))/CEA!E10))</f>
        <v>COST SAVING</v>
      </c>
      <c r="L10" s="628" t="str">
        <f>IF(((Summary!Q11-(CEA!H10*'Total Discounting'!$J$5))/CEA!H10)&lt;1,"COST SAVING",((Summary!Q11-(CEA!F10*'Total Discounting'!$J$5))/CEA!H10))</f>
        <v>COST SAVING</v>
      </c>
    </row>
    <row r="11" spans="2:15" ht="15" customHeight="1" x14ac:dyDescent="0.25">
      <c r="B11" s="597" t="str">
        <f>Summary!B12</f>
        <v>Dental Sealants</v>
      </c>
      <c r="C11" s="609">
        <f>VLOOKUP($G$6,'Final Health Outcomes'!$D$29:$N$39,3)</f>
        <v>634.85194984186899</v>
      </c>
      <c r="D11" s="609">
        <f>VLOOKUP($G$6,'Final Health Outcomes'!$D$29:$N$39,5)</f>
        <v>6538.9750833712515</v>
      </c>
      <c r="E11" s="610">
        <f t="shared" ref="E11:E14" si="0">D11-C11</f>
        <v>5904.1231335293824</v>
      </c>
      <c r="F11" s="609">
        <f>VLOOKUP($G$6,'Final Health Outcomes'!$D$29:$N$39,9)</f>
        <v>697.44298715022273</v>
      </c>
      <c r="G11" s="609">
        <f>VLOOKUP($G$6,'Final Health Outcomes'!$D$29:$N$39,11)</f>
        <v>7183.6627676472935</v>
      </c>
      <c r="H11" s="603">
        <f t="shared" ref="H11:H14" si="1">G11-F11</f>
        <v>6486.219780497071</v>
      </c>
      <c r="I11" s="623" t="str">
        <f>IF(((Summary!O12-(VLOOKUP($G$6,'Total Discounting'!A32:Y41,7)))/C11)&lt;1,"COST SAVING",(((Summary!O12-(VLOOKUP($G$6,'Total Discounting'!$A$32:$Y$41,7)))/C11)))</f>
        <v>COST SAVING</v>
      </c>
      <c r="J11" s="318" t="str">
        <f>IF(((Summary!O12-(VLOOKUP($G$6,'Total Discounting'!$A$32:$Y$41,9)))/F11)&lt;1,"COST SAVING",(((Summary!O12-(VLOOKUP($G$6,'Total Discounting'!$A$32:$Y$41,9)))/F11)))</f>
        <v>COST SAVING</v>
      </c>
      <c r="K11" s="625" t="str">
        <f>IF(((Summary!Q12-(CEA!E11*'Total Discounting'!$J$5))/CEA!E11)&lt;1,"COST SAVING",((Summary!Q12-(CEA!E11*'Total Discounting'!$J$5))/CEA!E11))</f>
        <v>COST SAVING</v>
      </c>
      <c r="L11" s="629" t="str">
        <f>IF(((Summary!Q12-(CEA!H11*'Total Discounting'!$J$5))/CEA!H11)&lt;1,"COST SAVING",((Summary!Q12-(CEA!F11*'Total Discounting'!$J$5))/CEA!H11))</f>
        <v>COST SAVING</v>
      </c>
    </row>
    <row r="12" spans="2:15" ht="15" customHeight="1" x14ac:dyDescent="0.25">
      <c r="B12" s="598" t="str">
        <f>Summary!B13</f>
        <v>Fluoride Varnish</v>
      </c>
      <c r="C12" s="611">
        <f>VLOOKUP($G$6,'Final Health Outcomes'!$D$42:$N$52,3)</f>
        <v>2110.0332834321734</v>
      </c>
      <c r="D12" s="611">
        <f>VLOOKUP($G$6,'Final Health Outcomes'!$D$42:$N$52,5)</f>
        <v>4144.4208274888224</v>
      </c>
      <c r="E12" s="612">
        <f t="shared" si="0"/>
        <v>2034.3875440566489</v>
      </c>
      <c r="F12" s="611">
        <f>VLOOKUP($G$6,'Final Health Outcomes'!$D$42:$N$52,9)</f>
        <v>2813.3777112428984</v>
      </c>
      <c r="G12" s="611">
        <f>VLOOKUP($G$6,'Final Health Outcomes'!$D$42:$N$52,11)</f>
        <v>5525.8944366517626</v>
      </c>
      <c r="H12" s="603">
        <f t="shared" si="1"/>
        <v>2712.5167254088642</v>
      </c>
      <c r="I12" s="318" t="str">
        <f>IF(((Summary!O13-(VLOOKUP($G$6,'Total Discounting'!$A$45:$Y$54,7)))/C12)&lt;1,"COST SAVING",(((Summary!O13-(VLOOKUP($G$6,'Total Discounting'!$A$45:$Y$54,7)))/C12)))</f>
        <v>COST SAVING</v>
      </c>
      <c r="J12" s="622" t="str">
        <f>IF(((Summary!O13-(VLOOKUP($G$6,'Total Discounting'!$A$45:$Y$54,9)))/F12)&lt;1,"COST SAVING",(((Summary!O13-(VLOOKUP($G$6,'Total Discounting'!$A$45:$Y$54,9)))/F12)))</f>
        <v>COST SAVING</v>
      </c>
      <c r="K12" s="626" t="str">
        <f>IF(((Summary!Q13-(CEA!E12*'Total Discounting'!$J$5))/CEA!E12)&lt;1,"COST SAVING",((Summary!Q13-(CEA!E12*'Total Discounting'!$J$5))/CEA!E12))</f>
        <v>COST SAVING</v>
      </c>
      <c r="L12" s="630" t="str">
        <f>IF(((Summary!Q13-(CEA!H12*'Total Discounting'!$J$5))/CEA!H12)&lt;1,"COST SAVING",((Summary!Q13-(CEA!F12*'Total Discounting'!$J$5))/CEA!H12))</f>
        <v>COST SAVING</v>
      </c>
    </row>
    <row r="13" spans="2:15" ht="28.5" customHeight="1" x14ac:dyDescent="0.25">
      <c r="B13" s="599" t="str">
        <f>Summary!B14</f>
        <v>Toothbrush/      Toothpaste</v>
      </c>
      <c r="C13" s="611">
        <f>VLOOKUP($G$6, 'Final Health Outcomes'!$D$55:$N$65,3)</f>
        <v>2659.336697638661</v>
      </c>
      <c r="D13" s="611">
        <f>VLOOKUP($G$6, 'Final Health Outcomes'!$D$55:$N$65,5)</f>
        <v>4835.1576320702925</v>
      </c>
      <c r="E13" s="613">
        <f t="shared" si="0"/>
        <v>2175.8209344316315</v>
      </c>
      <c r="F13" s="611">
        <f>VLOOKUP($G$6, 'Final Health Outcomes'!$D$55:$N$65,9)</f>
        <v>3545.7822635182165</v>
      </c>
      <c r="G13" s="611">
        <f>VLOOKUP($G$6, 'Final Health Outcomes'!$D$55:$N$65,11)</f>
        <v>6339.6627028189923</v>
      </c>
      <c r="H13" s="604">
        <f t="shared" si="1"/>
        <v>2793.8804393007758</v>
      </c>
      <c r="I13" s="623" t="str">
        <f>IF(((Summary!$O$14-(VLOOKUP($G$6,'Total Discounting'!$A$58:$Y$67,7)))/C13)&lt;1,"COST SAVING",(((Summary!$O$14-(VLOOKUP($G$6,'Total Discounting'!$A$58:$Y$67,7)))/C13)))</f>
        <v>COST SAVING</v>
      </c>
      <c r="J13" s="616" t="str">
        <f>IF(((Summary!$O$14-(VLOOKUP($G$6,'Total Discounting'!$A$58:$Y$67,9)))/F13)&lt;1,"COST SAVING",(((Summary!$O$14-(VLOOKUP($G$6,'Total Discounting'!$A$58:$Y$67,9)))/F13)))</f>
        <v>COST SAVING</v>
      </c>
      <c r="K13" s="624" t="str">
        <f>IF(((Summary!Q14-(CEA!E13*'Total Discounting'!$J$5))/CEA!E13)&lt;1,"COST SAVING",((Summary!Q14-(CEA!E13*'Total Discounting'!$J$5))/CEA!E13))</f>
        <v>COST SAVING</v>
      </c>
      <c r="L13" s="628" t="str">
        <f>IF(((Summary!Q14-(CEA!H13*'Total Discounting'!$J$5))/CEA!H13)&lt;1,"COST SAVING",((Summary!Q14-(CEA!F13*'Total Discounting'!$J$5))/CEA!H13))</f>
        <v>COST SAVING</v>
      </c>
    </row>
    <row r="14" spans="2:15" ht="19.5" thickBot="1" x14ac:dyDescent="0.3">
      <c r="B14" s="600" t="str">
        <f>Summary!B15</f>
        <v>Initial Exam</v>
      </c>
      <c r="C14" s="614">
        <f>VLOOKUP($G$6, 'Final Health Outcomes'!$D$68:$N$78,3)</f>
        <v>318.6777956671018</v>
      </c>
      <c r="D14" s="614">
        <f>VLOOKUP($G$6, 'Final Health Outcomes'!$D$68:$N$78,5)</f>
        <v>3944.1295081020926</v>
      </c>
      <c r="E14" s="615">
        <f t="shared" si="0"/>
        <v>3625.4517124349909</v>
      </c>
      <c r="F14" s="614">
        <f>VLOOKUP($G$6, 'Final Health Outcomes'!$D$68:$N$78,9)</f>
        <v>463.53133915214795</v>
      </c>
      <c r="G14" s="614">
        <f>VLOOKUP($G$6, 'Final Health Outcomes'!$D$68:$N$78,11)</f>
        <v>5736.9156481484988</v>
      </c>
      <c r="H14" s="605">
        <f t="shared" si="1"/>
        <v>5273.3843089963511</v>
      </c>
      <c r="I14" s="617" t="str">
        <f>IF(((Summary!$O$15-(VLOOKUP($G$6,'Total Discounting'!$A$71:$Y$80,7)))/C14)&lt;1,"COST SAVING",(((Summary!$O$15-(VLOOKUP($G$6,'Total Discounting'!$A$71:$Y$80,7)))/C14)))</f>
        <v>COST SAVING</v>
      </c>
      <c r="J14" s="618" t="str">
        <f>IF(((Summary!$O$15-(VLOOKUP($G$6,'Total Discounting'!$A$71:$Y$80,9)))/F14)&lt;1,"COST SAVING",(((Summary!O15-(VLOOKUP($G$6,'Total Discounting'!$A$71:$Y$80,9)))/F14)))</f>
        <v>COST SAVING</v>
      </c>
      <c r="K14" s="627" t="str">
        <f>IF(((Summary!Q15-(CEA!E14*'Total Discounting'!$J$5))/CEA!E14)&lt;1,"COST SAVING",((Summary!Q15-(CEA!E14*'Total Discounting'!$J$5))/CEA!E14))</f>
        <v>COST SAVING</v>
      </c>
      <c r="L14" s="631" t="str">
        <f>IF(((Summary!Q15-(CEA!H14*'Total Discounting'!$J$5))/CEA!H14)&lt;1,"COST SAVING",((Summary!Q15-(CEA!F14*'Total Discounting'!$J$5))/CEA!H14))</f>
        <v>COST SAVING</v>
      </c>
    </row>
    <row r="15" spans="2:15" ht="15.75" thickTop="1" x14ac:dyDescent="0.25">
      <c r="E15" s="7"/>
      <c r="F15" s="140"/>
      <c r="G15" s="140"/>
      <c r="I15" s="632"/>
      <c r="J15" s="632"/>
      <c r="K15" s="632"/>
      <c r="L15" s="7"/>
    </row>
    <row r="16" spans="2:15" ht="15.75" customHeight="1" x14ac:dyDescent="0.25">
      <c r="C16" s="17"/>
      <c r="D16" s="951" t="s">
        <v>427</v>
      </c>
      <c r="E16" s="951"/>
      <c r="F16" s="951"/>
      <c r="G16" s="951"/>
      <c r="I16" s="633" t="s">
        <v>429</v>
      </c>
      <c r="J16" s="633"/>
      <c r="K16" s="633"/>
      <c r="L16" s="7"/>
    </row>
    <row r="17" spans="2:13" x14ac:dyDescent="0.25">
      <c r="D17" s="951"/>
      <c r="E17" s="951"/>
      <c r="F17" s="951"/>
      <c r="G17" s="951"/>
      <c r="K17" s="19"/>
      <c r="M17" s="7"/>
    </row>
    <row r="18" spans="2:13" x14ac:dyDescent="0.25">
      <c r="C18" s="17"/>
      <c r="L18" s="19"/>
    </row>
    <row r="19" spans="2:13" x14ac:dyDescent="0.25">
      <c r="C19" s="17"/>
    </row>
    <row r="20" spans="2:13" x14ac:dyDescent="0.25">
      <c r="B20" s="361" t="s">
        <v>428</v>
      </c>
      <c r="E20" s="244"/>
      <c r="G20" s="230"/>
    </row>
    <row r="21" spans="2:13" x14ac:dyDescent="0.25">
      <c r="E21" s="17"/>
    </row>
    <row r="22" spans="2:13" x14ac:dyDescent="0.25">
      <c r="G22" s="230"/>
    </row>
  </sheetData>
  <mergeCells count="4">
    <mergeCell ref="E2:K2"/>
    <mergeCell ref="D16:G17"/>
    <mergeCell ref="I8:L8"/>
    <mergeCell ref="C8:H8"/>
  </mergeCells>
  <conditionalFormatting sqref="H10:H14">
    <cfRule type="cellIs" dxfId="19" priority="11" operator="lessThan">
      <formula>0</formula>
    </cfRule>
    <cfRule type="containsText" dxfId="18" priority="12" operator="containsText" text="COST SAVING">
      <formula>NOT(ISERROR(SEARCH("COST SAVING",H10)))</formula>
    </cfRule>
    <cfRule type="containsText" dxfId="17" priority="13" stopIfTrue="1" operator="containsText" text="COST SAVING">
      <formula>NOT(ISERROR(SEARCH("COST SAVING",H10)))</formula>
    </cfRule>
  </conditionalFormatting>
  <conditionalFormatting sqref="H10:H14">
    <cfRule type="cellIs" dxfId="16" priority="10" operator="lessThan">
      <formula>0</formula>
    </cfRule>
  </conditionalFormatting>
  <conditionalFormatting sqref="I10:L14">
    <cfRule type="cellIs" dxfId="15" priority="6" operator="lessThan">
      <formula>0</formula>
    </cfRule>
    <cfRule type="containsText" dxfId="14" priority="7" operator="containsText" text="COST SAVING">
      <formula>NOT(ISERROR(SEARCH("COST SAVING",I10)))</formula>
    </cfRule>
    <cfRule type="containsText" dxfId="13" priority="8" stopIfTrue="1" operator="containsText" text="COST SAVING">
      <formula>NOT(ISERROR(SEARCH("COST SAVING",I10)))</formula>
    </cfRule>
  </conditionalFormatting>
  <conditionalFormatting sqref="I10:L14">
    <cfRule type="cellIs" dxfId="12" priority="5" operator="lessThan">
      <formula>0</formula>
    </cfRule>
  </conditionalFormatting>
  <conditionalFormatting sqref="I14">
    <cfRule type="cellIs" dxfId="11" priority="1" operator="equal">
      <formula>"COST SAVING"</formula>
    </cfRule>
    <cfRule type="cellIs" dxfId="10" priority="2" operator="greaterThan">
      <formula>0</formula>
    </cfRule>
  </conditionalFormatting>
  <dataValidations count="3">
    <dataValidation allowBlank="1" showInputMessage="1" showErrorMessage="1" promptTitle="Incremental Costs Averted " prompt="Change in costs to avert additional number of outcomes at min &amp; max effect. Reported as a proportion for the differ b/w change in program costs and cost of averting outcomes b/w current and ideal populations and the total number of outcomes averted." sqref="H10:H14 K10:L14"/>
    <dataValidation allowBlank="1" showInputMessage="1" showErrorMessage="1" promptTitle="Cost per Carie Averted " prompt="Cost of preventing caries at min and max effectiveness.  Defined as the proportion b/w the difference in Total Program Costs and Total Program Costs Averted and the Total Number of Caries prevented at the specified timeframe." sqref="I10:J14"/>
    <dataValidation type="list" allowBlank="1" showInputMessage="1" showErrorMessage="1" sqref="E7:G7">
      <formula1>$Y$3:$Y$8</formula1>
    </dataValidation>
  </dataValidations>
  <hyperlinks>
    <hyperlink ref="D16:F16" location="Discounting!A1" display="Select here to obtain the full list of calculations"/>
    <hyperlink ref="D16:G17" location="'Final Health Outcomes'!A1" display="Select here to obtain the full list of calculations for minimum effectiveness"/>
    <hyperlink ref="H15:J15" location="Discounting!A1" display="Select here to obtain the full list of calculations"/>
    <hyperlink ref="H15:K16" location="'Final Health Outcomes'!A1" display="Select here to obtain the full list of calculations for minimum effectiveness"/>
    <hyperlink ref="I16" location="'Total Discounting'!A1" display="Select here to obtain the full list of calculations "/>
  </hyperlinks>
  <pageMargins left="0.7" right="0.7" top="0.75" bottom="0.75" header="0.3" footer="0.3"/>
  <pageSetup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B1:O22"/>
  <sheetViews>
    <sheetView zoomScaleNormal="100" workbookViewId="0">
      <selection activeCell="C10" sqref="C10"/>
    </sheetView>
  </sheetViews>
  <sheetFormatPr defaultColWidth="9.140625" defaultRowHeight="15" x14ac:dyDescent="0.25"/>
  <cols>
    <col min="1" max="1" width="5.42578125" style="2" customWidth="1"/>
    <col min="2" max="2" width="20.85546875" style="2" customWidth="1"/>
    <col min="3" max="3" width="17.42578125" style="2" customWidth="1"/>
    <col min="4" max="4" width="17" style="2" customWidth="1"/>
    <col min="5" max="6" width="18.85546875" style="2" customWidth="1"/>
    <col min="7" max="7" width="18" style="2" customWidth="1"/>
    <col min="8" max="8" width="19.7109375" style="73" customWidth="1"/>
    <col min="9" max="9" width="17.28515625" style="73" customWidth="1"/>
    <col min="10" max="10" width="18.42578125" style="73" customWidth="1"/>
    <col min="11" max="11" width="17.85546875" style="2" customWidth="1"/>
    <col min="12" max="12" width="17.7109375" style="2" customWidth="1"/>
    <col min="13" max="13" width="22.7109375" style="2" customWidth="1"/>
    <col min="14" max="14" width="21" style="2" customWidth="1"/>
    <col min="15" max="15" width="0.85546875" style="2" customWidth="1"/>
    <col min="16" max="16384" width="9.140625" style="2"/>
  </cols>
  <sheetData>
    <row r="1" spans="2:15" s="1" customFormat="1" ht="25.5" customHeight="1" x14ac:dyDescent="0.25">
      <c r="H1" s="72"/>
      <c r="I1" s="72"/>
      <c r="J1" s="72"/>
    </row>
    <row r="2" spans="2:15" s="77" customFormat="1" ht="46.5" customHeight="1" x14ac:dyDescent="0.25">
      <c r="D2" s="81"/>
      <c r="E2" s="949" t="s">
        <v>421</v>
      </c>
      <c r="F2" s="949"/>
      <c r="G2" s="949"/>
      <c r="H2" s="949"/>
      <c r="I2" s="949"/>
      <c r="J2" s="949"/>
      <c r="K2" s="949"/>
      <c r="L2" s="593"/>
      <c r="M2" s="593"/>
      <c r="N2" s="81"/>
      <c r="O2" s="81"/>
    </row>
    <row r="3" spans="2:15" ht="15.75" thickBot="1" x14ac:dyDescent="0.3"/>
    <row r="4" spans="2:15" ht="19.5" thickBot="1" x14ac:dyDescent="0.35">
      <c r="G4" s="636" t="str">
        <f>Summary!I4</f>
        <v>Age Group</v>
      </c>
      <c r="H4" s="78" t="str">
        <f>Fluoridation!C9</f>
        <v>6 - 60 months</v>
      </c>
      <c r="I4" s="37"/>
      <c r="J4" s="37"/>
      <c r="L4" s="7"/>
    </row>
    <row r="5" spans="2:15" ht="2.25" customHeight="1" thickBot="1" x14ac:dyDescent="0.35">
      <c r="E5" s="68"/>
      <c r="F5" s="68"/>
      <c r="G5" s="68"/>
      <c r="H5" s="69"/>
      <c r="I5" s="69"/>
      <c r="J5" s="69"/>
      <c r="K5" s="7"/>
      <c r="L5" s="7"/>
    </row>
    <row r="6" spans="2:15" ht="19.5" thickBot="1" x14ac:dyDescent="0.35">
      <c r="D6" s="17"/>
      <c r="F6" s="126" t="s">
        <v>16</v>
      </c>
      <c r="G6" s="154">
        <f>Summary!I6</f>
        <v>10</v>
      </c>
      <c r="H6" s="74" t="s">
        <v>15</v>
      </c>
      <c r="I6" s="177">
        <f>Summary!K6</f>
        <v>0.03</v>
      </c>
      <c r="J6" s="69"/>
      <c r="K6" s="7"/>
    </row>
    <row r="7" spans="2:15" ht="12" customHeight="1" x14ac:dyDescent="0.3">
      <c r="E7" s="69"/>
      <c r="F7" s="69"/>
      <c r="G7" s="69"/>
      <c r="H7" s="75"/>
      <c r="I7" s="75"/>
      <c r="J7" s="75"/>
      <c r="K7" s="70"/>
      <c r="L7" s="97"/>
      <c r="M7" s="97"/>
    </row>
    <row r="8" spans="2:15" ht="18.75" customHeight="1" x14ac:dyDescent="0.3">
      <c r="B8" s="594" t="s">
        <v>14</v>
      </c>
      <c r="C8" s="953" t="s">
        <v>423</v>
      </c>
      <c r="D8" s="954"/>
      <c r="E8" s="954"/>
      <c r="F8" s="954"/>
      <c r="G8" s="954"/>
      <c r="H8" s="954"/>
      <c r="I8" s="798" t="s">
        <v>424</v>
      </c>
      <c r="J8" s="798"/>
      <c r="K8" s="798"/>
      <c r="L8" s="798"/>
    </row>
    <row r="9" spans="2:15" ht="108" customHeight="1" thickBot="1" x14ac:dyDescent="0.3">
      <c r="B9" s="595"/>
      <c r="C9" s="33" t="s">
        <v>425</v>
      </c>
      <c r="D9" s="218" t="s">
        <v>171</v>
      </c>
      <c r="E9" s="261" t="s">
        <v>155</v>
      </c>
      <c r="F9" s="33" t="s">
        <v>148</v>
      </c>
      <c r="G9" s="218" t="s">
        <v>422</v>
      </c>
      <c r="H9" s="602" t="s">
        <v>156</v>
      </c>
      <c r="I9" s="34" t="s">
        <v>163</v>
      </c>
      <c r="J9" s="619" t="s">
        <v>164</v>
      </c>
      <c r="K9" s="620" t="s">
        <v>186</v>
      </c>
      <c r="L9" s="621" t="s">
        <v>185</v>
      </c>
    </row>
    <row r="10" spans="2:15" ht="33" customHeight="1" x14ac:dyDescent="0.25">
      <c r="B10" s="599" t="str">
        <f>Summary!B11</f>
        <v>Water Fluoridation</v>
      </c>
      <c r="C10" s="607">
        <f>VLOOKUP($G$6,'Final Health Outcomes'!$D$16:$N$26,3,)</f>
        <v>2159.7484502085226</v>
      </c>
      <c r="D10" s="607">
        <f>VLOOKUP($G$6,'Final Health Outcomes'!$D$16:$N$26,5,)</f>
        <v>4089.3407146574732</v>
      </c>
      <c r="E10" s="608">
        <f>D10-C10</f>
        <v>1929.5922644489506</v>
      </c>
      <c r="F10" s="607">
        <f>VLOOKUP($G$6,'Final Health Outcomes'!$D$16:$N$26,9,)</f>
        <v>2907.3536829730115</v>
      </c>
      <c r="G10" s="607">
        <f>VLOOKUP($G$6,'Final Health Outcomes'!$D$16:$N$26,11,)</f>
        <v>5504.8817312696738</v>
      </c>
      <c r="H10" s="606">
        <f>G10-F10</f>
        <v>2597.5280482966623</v>
      </c>
      <c r="I10" s="318">
        <f>IF(((Summary!O11-(VLOOKUP($G$6,'Total Discounting'!$A$19:$Y$28,7)))/C10)&lt;1,(((Summary!O11-(VLOOKUP($G$6,'Total Discounting'!$A$19:$Y$27,7)))/C10)))</f>
        <v>-411.66000461430087</v>
      </c>
      <c r="J10" s="622">
        <f>IF(((Summary!O11-(VLOOKUP($G$6,'Total Discounting'!$A$19:$Y$28,9)))/F10)&lt;1,(((Summary!O11-(VLOOKUP($G$6,'Total Discounting'!$A$19:$Y$27,9)))/F10)))</f>
        <v>-430.06809200872084</v>
      </c>
      <c r="K10" s="624">
        <f>IF(((Summary!Q11-(CEA_Actual!E10*'Total Discounting'!$J$5))/CEA_Actual!E10)&lt;1,((Summary!Q11-(CEA_Actual!E10*'Total Discounting'!$J$5))/CEA_Actual!E10))</f>
        <v>-3761.5575521637911</v>
      </c>
      <c r="L10" s="628">
        <f>IF(((Summary!Q11-(CEA_Actual!H10*'Total Discounting'!$J$5))/CEA_Actual!H10)&lt;1,((Summary!Q11-(CEA_Actual!F10*'Total Discounting'!$J$5))/CEA_Actual!H10))</f>
        <v>-4335.6002134230303</v>
      </c>
    </row>
    <row r="11" spans="2:15" ht="15" customHeight="1" x14ac:dyDescent="0.25">
      <c r="B11" s="597" t="str">
        <f>Summary!B12</f>
        <v>Dental Sealants</v>
      </c>
      <c r="C11" s="609">
        <f>VLOOKUP($G$6,'Final Health Outcomes'!$D$29:$N$39,3)</f>
        <v>634.85194984186899</v>
      </c>
      <c r="D11" s="609">
        <f>VLOOKUP($G$6,'Final Health Outcomes'!$D$29:$N$39,5)</f>
        <v>6538.9750833712515</v>
      </c>
      <c r="E11" s="610">
        <f t="shared" ref="E11:E14" si="0">D11-C11</f>
        <v>5904.1231335293824</v>
      </c>
      <c r="F11" s="609">
        <f>VLOOKUP($G$6,'Final Health Outcomes'!$D$29:$N$39,9)</f>
        <v>697.44298715022273</v>
      </c>
      <c r="G11" s="609">
        <f>VLOOKUP($G$6,'Final Health Outcomes'!$D$29:$N$39,11)</f>
        <v>7183.6627676472935</v>
      </c>
      <c r="H11" s="603">
        <f t="shared" ref="H11:H14" si="1">G11-F11</f>
        <v>6486.219780497071</v>
      </c>
      <c r="I11" s="623">
        <f>IF(((Summary!O12-(VLOOKUP($G$6,'Total Discounting'!A32:Y41,7)))/C11)&lt;1,(((Summary!O12-(VLOOKUP($G$6,'Total Discounting'!$A$32:$Y$41,7)))/C11)))</f>
        <v>-362.54779060999527</v>
      </c>
      <c r="J11" s="318">
        <f>IF(((Summary!O12-(VLOOKUP($G$6,'Total Discounting'!$A$32:$Y$41,9)))/F11)&lt;1,(((Summary!O12-(VLOOKUP($G$6,'Total Discounting'!$A$32:$Y$41,9)))/F11)))</f>
        <v>-377.52434588107593</v>
      </c>
      <c r="K11" s="625">
        <f>IF(((Summary!Q12-(CEA_Actual!E11*'Total Discounting'!$J$5))/CEA_Actual!E11)&lt;1,((Summary!Q12-(CEA_Actual!E11*'Total Discounting'!$J$5))/CEA_Actual!E11))</f>
        <v>-3784.6963039086277</v>
      </c>
      <c r="L11" s="629">
        <f>IF(((Summary!Q12-(CEA_Actual!H11*'Total Discounting'!$J$5))/CEA_Actual!H11)&lt;1,((Summary!Q12-(CEA_Actual!F11*'Total Discounting'!$J$5))/CEA_Actual!H11))</f>
        <v>-158.16401633211603</v>
      </c>
    </row>
    <row r="12" spans="2:15" ht="15" customHeight="1" x14ac:dyDescent="0.25">
      <c r="B12" s="598" t="str">
        <f>Summary!B13</f>
        <v>Fluoride Varnish</v>
      </c>
      <c r="C12" s="611">
        <f>VLOOKUP($G$6,'Final Health Outcomes'!$D$42:$N$52,3)</f>
        <v>2110.0332834321734</v>
      </c>
      <c r="D12" s="611">
        <f>VLOOKUP($G$6,'Final Health Outcomes'!$D$42:$N$52,5)</f>
        <v>4144.4208274888224</v>
      </c>
      <c r="E12" s="612">
        <f t="shared" si="0"/>
        <v>2034.3875440566489</v>
      </c>
      <c r="F12" s="611">
        <f>VLOOKUP($G$6,'Final Health Outcomes'!$D$42:$N$52,9)</f>
        <v>2813.3777112428984</v>
      </c>
      <c r="G12" s="611">
        <f>VLOOKUP($G$6,'Final Health Outcomes'!$D$42:$N$52,11)</f>
        <v>5525.8944366517626</v>
      </c>
      <c r="H12" s="603">
        <f t="shared" si="1"/>
        <v>2712.5167254088642</v>
      </c>
      <c r="I12" s="318">
        <f>IF(((Summary!O13-(VLOOKUP($G$6,'Total Discounting'!$A$45:$Y$54,7)))/C12)&lt;1,(((Summary!O13-(VLOOKUP($G$6,'Total Discounting'!$A$45:$Y$54,7)))/C12)))</f>
        <v>-275.05082417135662</v>
      </c>
      <c r="J12" s="622">
        <f>IF(((Summary!O13-(VLOOKUP($G$6,'Total Discounting'!$A$45:$Y$54,9)))/F12)&lt;1,(((Summary!O13-(VLOOKUP($G$6,'Total Discounting'!$A$45:$Y$54,9)))/F12)))</f>
        <v>-338.64546975045528</v>
      </c>
      <c r="K12" s="626">
        <f>IF(((Summary!Q13-(CEA_Actual!E12*'Total Discounting'!$J$5))/CEA_Actual!E12)&lt;1,(Summary!Q13-(CEA_Actual!E12*'Total Discounting'!$J$5))/CEA_Actual!E12)</f>
        <v>-3743.0381187093344</v>
      </c>
      <c r="L12" s="630">
        <f>IF(((Summary!Q13-(CEA_Actual!H12*'Total Discounting'!$J$5))/CEA_Actual!H12)&lt;1,((Summary!Q13-(CEA_Actual!F12*'Total Discounting'!$J$5))/CEA_Actual!H12))</f>
        <v>-3983.1888183068854</v>
      </c>
    </row>
    <row r="13" spans="2:15" ht="28.5" customHeight="1" x14ac:dyDescent="0.25">
      <c r="B13" s="599" t="str">
        <f>Summary!B14</f>
        <v>Toothbrush/      Toothpaste</v>
      </c>
      <c r="C13" s="611">
        <f>VLOOKUP($G$6, 'Final Health Outcomes'!$D$55:$N$65,3)</f>
        <v>2659.336697638661</v>
      </c>
      <c r="D13" s="611">
        <f>VLOOKUP($G$6, 'Final Health Outcomes'!$D$55:$N$65,5)</f>
        <v>4835.1576320702925</v>
      </c>
      <c r="E13" s="613">
        <f t="shared" si="0"/>
        <v>2175.8209344316315</v>
      </c>
      <c r="F13" s="611">
        <f>VLOOKUP($G$6, 'Final Health Outcomes'!$D$55:$N$65,9)</f>
        <v>3545.7822635182165</v>
      </c>
      <c r="G13" s="611">
        <f>VLOOKUP($G$6, 'Final Health Outcomes'!$D$55:$N$65,11)</f>
        <v>6339.6627028189923</v>
      </c>
      <c r="H13" s="604">
        <f t="shared" si="1"/>
        <v>2793.8804393007758</v>
      </c>
      <c r="I13" s="623">
        <f>IF(((Summary!$O$14-(VLOOKUP($G$6,'Total Discounting'!$A$58:$Y$67,7)))/C13)&lt;1,(((Summary!$O$14-(VLOOKUP($G$6,'Total Discounting'!$A$58:$Y$67,7)))/C13)))</f>
        <v>-329.54513074121724</v>
      </c>
      <c r="J13" s="616">
        <f>IF(((Summary!$O$14-(VLOOKUP($G$6,'Total Discounting'!$A$58:$Y$67,9)))/F13)&lt;1,(((Summary!$O$14-(VLOOKUP($G$6,'Total Discounting'!$A$58:$Y$67,9)))/F13)))</f>
        <v>-379.51619967785075</v>
      </c>
      <c r="K13" s="624">
        <f>IF(((Summary!Q14-(CEA_Actual!E13*'Total Discounting'!$J$5))/CEA_Actual!E13)&lt;1,((Summary!Q14-(CEA_Actual!E13*'Total Discounting'!$J$5))/CEA_Actual!E13))</f>
        <v>-3894.7452829406543</v>
      </c>
      <c r="L13" s="628">
        <f>IF(((Summary!Q14-(CEA_Actual!H13*'Total Discounting'!$J$5))/CEA_Actual!H13)&lt;1,((Summary!Q14-(CEA_Actual!F13*'Total Discounting'!$J$5))/CEA_Actual!H13))</f>
        <v>-5040.9288368696916</v>
      </c>
    </row>
    <row r="14" spans="2:15" ht="19.5" thickBot="1" x14ac:dyDescent="0.3">
      <c r="B14" s="600" t="str">
        <f>Summary!B15</f>
        <v>Initial Exam</v>
      </c>
      <c r="C14" s="614">
        <f>VLOOKUP($G$6, 'Final Health Outcomes'!$D$68:$N$78,3)</f>
        <v>318.6777956671018</v>
      </c>
      <c r="D14" s="614">
        <f>VLOOKUP($G$6, 'Final Health Outcomes'!$D$68:$N$78,5)</f>
        <v>3944.1295081020926</v>
      </c>
      <c r="E14" s="615">
        <f t="shared" si="0"/>
        <v>3625.4517124349909</v>
      </c>
      <c r="F14" s="614">
        <f>VLOOKUP($G$6, 'Final Health Outcomes'!$D$68:$N$78,9)</f>
        <v>463.53133915214795</v>
      </c>
      <c r="G14" s="614">
        <f>VLOOKUP($G$6, 'Final Health Outcomes'!$D$68:$N$78,11)</f>
        <v>5736.9156481484988</v>
      </c>
      <c r="H14" s="605">
        <f t="shared" si="1"/>
        <v>5273.3843089963511</v>
      </c>
      <c r="I14" s="617">
        <f>IF(((Summary!$O$15-(VLOOKUP($G$6,'Total Discounting'!$A$71:$Y$80,7)))/C14)&lt;1,(((Summary!$O$15-(VLOOKUP($G$6,'Total Discounting'!$A$71:$Y$80,7)))/C14)))</f>
        <v>-238.98186043448635</v>
      </c>
      <c r="J14" s="618">
        <f>IF(((Summary!$O$15-(VLOOKUP($G$6,'Total Discounting'!$A$71:$Y$80,9)))/F14)&lt;1,(((Summary!O15-(VLOOKUP($G$6,'Total Discounting'!$A$71:$Y$80,9)))/F14)))</f>
        <v>-329.74671857613191</v>
      </c>
      <c r="K14" s="627">
        <f>IF(((Summary!Q15-(CEA_Actual!E14*'Total Discounting'!$J$5))/CEA_Actual!E14)&lt;1,((Summary!Q15-(CEA_Actual!E14*'Total Discounting'!$J$5))/CEA_Actual!E14))</f>
        <v>-4030.3308073091466</v>
      </c>
      <c r="L14" s="631">
        <f>IF(((Summary!Q15-(CEA_Actual!H14*'Total Discounting'!$J$5))/CEA_Actual!H14)&lt;1,((Summary!Q15-(CEA_Actual!F14*'Total Discounting'!$J$5))/CEA_Actual!H14))</f>
        <v>-315.71321315213424</v>
      </c>
    </row>
    <row r="15" spans="2:15" ht="15.75" thickTop="1" x14ac:dyDescent="0.25">
      <c r="E15" s="7"/>
      <c r="F15" s="140"/>
      <c r="G15" s="140"/>
      <c r="I15" s="632"/>
      <c r="J15" s="632"/>
      <c r="K15" s="632"/>
      <c r="L15" s="7"/>
    </row>
    <row r="16" spans="2:15" ht="15.75" customHeight="1" x14ac:dyDescent="0.25">
      <c r="C16" s="17"/>
      <c r="D16" s="951" t="s">
        <v>427</v>
      </c>
      <c r="E16" s="951"/>
      <c r="F16" s="951"/>
      <c r="G16" s="951"/>
      <c r="I16" s="633" t="s">
        <v>429</v>
      </c>
      <c r="J16" s="633"/>
      <c r="K16" s="633"/>
      <c r="L16" s="7"/>
    </row>
    <row r="17" spans="2:13" x14ac:dyDescent="0.25">
      <c r="D17" s="951"/>
      <c r="E17" s="951"/>
      <c r="F17" s="951"/>
      <c r="G17" s="951"/>
      <c r="K17" s="19"/>
      <c r="M17" s="7"/>
    </row>
    <row r="18" spans="2:13" x14ac:dyDescent="0.25">
      <c r="C18" s="17"/>
      <c r="L18" s="19"/>
    </row>
    <row r="19" spans="2:13" x14ac:dyDescent="0.25">
      <c r="C19" s="17"/>
    </row>
    <row r="20" spans="2:13" x14ac:dyDescent="0.25">
      <c r="B20" s="361" t="s">
        <v>428</v>
      </c>
      <c r="E20" s="244"/>
      <c r="G20" s="230"/>
    </row>
    <row r="21" spans="2:13" x14ac:dyDescent="0.25">
      <c r="E21" s="17"/>
    </row>
    <row r="22" spans="2:13" x14ac:dyDescent="0.25">
      <c r="G22" s="230"/>
    </row>
  </sheetData>
  <mergeCells count="4">
    <mergeCell ref="E2:K2"/>
    <mergeCell ref="C8:H8"/>
    <mergeCell ref="I8:L8"/>
    <mergeCell ref="D16:G17"/>
  </mergeCells>
  <conditionalFormatting sqref="H10:H14">
    <cfRule type="cellIs" dxfId="9" priority="8" operator="lessThan">
      <formula>0</formula>
    </cfRule>
    <cfRule type="containsText" dxfId="8" priority="9" operator="containsText" text="COST SAVING">
      <formula>NOT(ISERROR(SEARCH("COST SAVING",H10)))</formula>
    </cfRule>
    <cfRule type="containsText" dxfId="7" priority="10" stopIfTrue="1" operator="containsText" text="COST SAVING">
      <formula>NOT(ISERROR(SEARCH("COST SAVING",H10)))</formula>
    </cfRule>
  </conditionalFormatting>
  <conditionalFormatting sqref="H10:H14">
    <cfRule type="cellIs" dxfId="6" priority="7" operator="lessThan">
      <formula>0</formula>
    </cfRule>
  </conditionalFormatting>
  <conditionalFormatting sqref="I10:L14">
    <cfRule type="cellIs" dxfId="5" priority="4" operator="lessThan">
      <formula>0</formula>
    </cfRule>
    <cfRule type="containsText" dxfId="4" priority="5" operator="containsText" text="COST SAVING">
      <formula>NOT(ISERROR(SEARCH("COST SAVING",I10)))</formula>
    </cfRule>
    <cfRule type="containsText" dxfId="3" priority="6" stopIfTrue="1" operator="containsText" text="COST SAVING">
      <formula>NOT(ISERROR(SEARCH("COST SAVING",I10)))</formula>
    </cfRule>
  </conditionalFormatting>
  <conditionalFormatting sqref="I10:L14">
    <cfRule type="cellIs" dxfId="2" priority="3" operator="lessThan">
      <formula>0</formula>
    </cfRule>
  </conditionalFormatting>
  <conditionalFormatting sqref="I14">
    <cfRule type="cellIs" dxfId="1" priority="1" operator="equal">
      <formula>"COST SAVING"</formula>
    </cfRule>
    <cfRule type="cellIs" dxfId="0" priority="2" operator="greaterThan">
      <formula>0</formula>
    </cfRule>
  </conditionalFormatting>
  <dataValidations count="3">
    <dataValidation type="list" allowBlank="1" showInputMessage="1" showErrorMessage="1" sqref="E7:G7">
      <formula1>$Y$3:$Y$8</formula1>
    </dataValidation>
    <dataValidation allowBlank="1" showInputMessage="1" showErrorMessage="1" promptTitle="Cost per Carie Averted " prompt="Cost of preventing caries at min and max effectiveness.  Defined as the proportion b/w the difference in Total Program Costs and Total Program Costs Averted and the Total Number of Caries prevented at the specified timeframe." sqref="I10:J14"/>
    <dataValidation allowBlank="1" showInputMessage="1" showErrorMessage="1" promptTitle="Incremental Costs Averted " prompt="Change in costs to avert additional number of outcomes at min &amp; max effect. Reported as a proportion for the differ b/w change in program costs and cost of averting outcomes b/w current and ideal populations and the total number of outcomes averted." sqref="H10:H14 K10:L14"/>
  </dataValidations>
  <hyperlinks>
    <hyperlink ref="D16:F16" location="Discounting!A1" display="Select here to obtain the full list of calculations"/>
    <hyperlink ref="D16:G17" location="'Final Health Outcomes'!A1" display="Select here to obtain the full list of calculations for minimum effectiveness"/>
    <hyperlink ref="H15:J15" location="Discounting!A1" display="Select here to obtain the full list of calculations"/>
    <hyperlink ref="H15:K16" location="'Final Health Outcomes'!A1" display="Select here to obtain the full list of calculations for minimum effectiveness"/>
    <hyperlink ref="I16" location="'Total Discounting'!A1" display="Select here to obtain the full list of calculations "/>
  </hyperlinks>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W35"/>
  <sheetViews>
    <sheetView topLeftCell="A11" workbookViewId="0"/>
  </sheetViews>
  <sheetFormatPr defaultRowHeight="12.75" x14ac:dyDescent="0.2"/>
  <cols>
    <col min="1" max="1" width="15.5703125" style="364" customWidth="1"/>
    <col min="2" max="256" width="9.140625" style="364"/>
    <col min="257" max="257" width="15.5703125" style="364" customWidth="1"/>
    <col min="258" max="512" width="9.140625" style="364"/>
    <col min="513" max="513" width="15.5703125" style="364" customWidth="1"/>
    <col min="514" max="768" width="9.140625" style="364"/>
    <col min="769" max="769" width="15.5703125" style="364" customWidth="1"/>
    <col min="770" max="1024" width="9.140625" style="364"/>
    <col min="1025" max="1025" width="15.5703125" style="364" customWidth="1"/>
    <col min="1026" max="1280" width="9.140625" style="364"/>
    <col min="1281" max="1281" width="15.5703125" style="364" customWidth="1"/>
    <col min="1282" max="1536" width="9.140625" style="364"/>
    <col min="1537" max="1537" width="15.5703125" style="364" customWidth="1"/>
    <col min="1538" max="1792" width="9.140625" style="364"/>
    <col min="1793" max="1793" width="15.5703125" style="364" customWidth="1"/>
    <col min="1794" max="2048" width="9.140625" style="364"/>
    <col min="2049" max="2049" width="15.5703125" style="364" customWidth="1"/>
    <col min="2050" max="2304" width="9.140625" style="364"/>
    <col min="2305" max="2305" width="15.5703125" style="364" customWidth="1"/>
    <col min="2306" max="2560" width="9.140625" style="364"/>
    <col min="2561" max="2561" width="15.5703125" style="364" customWidth="1"/>
    <col min="2562" max="2816" width="9.140625" style="364"/>
    <col min="2817" max="2817" width="15.5703125" style="364" customWidth="1"/>
    <col min="2818" max="3072" width="9.140625" style="364"/>
    <col min="3073" max="3073" width="15.5703125" style="364" customWidth="1"/>
    <col min="3074" max="3328" width="9.140625" style="364"/>
    <col min="3329" max="3329" width="15.5703125" style="364" customWidth="1"/>
    <col min="3330" max="3584" width="9.140625" style="364"/>
    <col min="3585" max="3585" width="15.5703125" style="364" customWidth="1"/>
    <col min="3586" max="3840" width="9.140625" style="364"/>
    <col min="3841" max="3841" width="15.5703125" style="364" customWidth="1"/>
    <col min="3842" max="4096" width="9.140625" style="364"/>
    <col min="4097" max="4097" width="15.5703125" style="364" customWidth="1"/>
    <col min="4098" max="4352" width="9.140625" style="364"/>
    <col min="4353" max="4353" width="15.5703125" style="364" customWidth="1"/>
    <col min="4354" max="4608" width="9.140625" style="364"/>
    <col min="4609" max="4609" width="15.5703125" style="364" customWidth="1"/>
    <col min="4610" max="4864" width="9.140625" style="364"/>
    <col min="4865" max="4865" width="15.5703125" style="364" customWidth="1"/>
    <col min="4866" max="5120" width="9.140625" style="364"/>
    <col min="5121" max="5121" width="15.5703125" style="364" customWidth="1"/>
    <col min="5122" max="5376" width="9.140625" style="364"/>
    <col min="5377" max="5377" width="15.5703125" style="364" customWidth="1"/>
    <col min="5378" max="5632" width="9.140625" style="364"/>
    <col min="5633" max="5633" width="15.5703125" style="364" customWidth="1"/>
    <col min="5634" max="5888" width="9.140625" style="364"/>
    <col min="5889" max="5889" width="15.5703125" style="364" customWidth="1"/>
    <col min="5890" max="6144" width="9.140625" style="364"/>
    <col min="6145" max="6145" width="15.5703125" style="364" customWidth="1"/>
    <col min="6146" max="6400" width="9.140625" style="364"/>
    <col min="6401" max="6401" width="15.5703125" style="364" customWidth="1"/>
    <col min="6402" max="6656" width="9.140625" style="364"/>
    <col min="6657" max="6657" width="15.5703125" style="364" customWidth="1"/>
    <col min="6658" max="6912" width="9.140625" style="364"/>
    <col min="6913" max="6913" width="15.5703125" style="364" customWidth="1"/>
    <col min="6914" max="7168" width="9.140625" style="364"/>
    <col min="7169" max="7169" width="15.5703125" style="364" customWidth="1"/>
    <col min="7170" max="7424" width="9.140625" style="364"/>
    <col min="7425" max="7425" width="15.5703125" style="364" customWidth="1"/>
    <col min="7426" max="7680" width="9.140625" style="364"/>
    <col min="7681" max="7681" width="15.5703125" style="364" customWidth="1"/>
    <col min="7682" max="7936" width="9.140625" style="364"/>
    <col min="7937" max="7937" width="15.5703125" style="364" customWidth="1"/>
    <col min="7938" max="8192" width="9.140625" style="364"/>
    <col min="8193" max="8193" width="15.5703125" style="364" customWidth="1"/>
    <col min="8194" max="8448" width="9.140625" style="364"/>
    <col min="8449" max="8449" width="15.5703125" style="364" customWidth="1"/>
    <col min="8450" max="8704" width="9.140625" style="364"/>
    <col min="8705" max="8705" width="15.5703125" style="364" customWidth="1"/>
    <col min="8706" max="8960" width="9.140625" style="364"/>
    <col min="8961" max="8961" width="15.5703125" style="364" customWidth="1"/>
    <col min="8962" max="9216" width="9.140625" style="364"/>
    <col min="9217" max="9217" width="15.5703125" style="364" customWidth="1"/>
    <col min="9218" max="9472" width="9.140625" style="364"/>
    <col min="9473" max="9473" width="15.5703125" style="364" customWidth="1"/>
    <col min="9474" max="9728" width="9.140625" style="364"/>
    <col min="9729" max="9729" width="15.5703125" style="364" customWidth="1"/>
    <col min="9730" max="9984" width="9.140625" style="364"/>
    <col min="9985" max="9985" width="15.5703125" style="364" customWidth="1"/>
    <col min="9986" max="10240" width="9.140625" style="364"/>
    <col min="10241" max="10241" width="15.5703125" style="364" customWidth="1"/>
    <col min="10242" max="10496" width="9.140625" style="364"/>
    <col min="10497" max="10497" width="15.5703125" style="364" customWidth="1"/>
    <col min="10498" max="10752" width="9.140625" style="364"/>
    <col min="10753" max="10753" width="15.5703125" style="364" customWidth="1"/>
    <col min="10754" max="11008" width="9.140625" style="364"/>
    <col min="11009" max="11009" width="15.5703125" style="364" customWidth="1"/>
    <col min="11010" max="11264" width="9.140625" style="364"/>
    <col min="11265" max="11265" width="15.5703125" style="364" customWidth="1"/>
    <col min="11266" max="11520" width="9.140625" style="364"/>
    <col min="11521" max="11521" width="15.5703125" style="364" customWidth="1"/>
    <col min="11522" max="11776" width="9.140625" style="364"/>
    <col min="11777" max="11777" width="15.5703125" style="364" customWidth="1"/>
    <col min="11778" max="12032" width="9.140625" style="364"/>
    <col min="12033" max="12033" width="15.5703125" style="364" customWidth="1"/>
    <col min="12034" max="12288" width="9.140625" style="364"/>
    <col min="12289" max="12289" width="15.5703125" style="364" customWidth="1"/>
    <col min="12290" max="12544" width="9.140625" style="364"/>
    <col min="12545" max="12545" width="15.5703125" style="364" customWidth="1"/>
    <col min="12546" max="12800" width="9.140625" style="364"/>
    <col min="12801" max="12801" width="15.5703125" style="364" customWidth="1"/>
    <col min="12802" max="13056" width="9.140625" style="364"/>
    <col min="13057" max="13057" width="15.5703125" style="364" customWidth="1"/>
    <col min="13058" max="13312" width="9.140625" style="364"/>
    <col min="13313" max="13313" width="15.5703125" style="364" customWidth="1"/>
    <col min="13314" max="13568" width="9.140625" style="364"/>
    <col min="13569" max="13569" width="15.5703125" style="364" customWidth="1"/>
    <col min="13570" max="13824" width="9.140625" style="364"/>
    <col min="13825" max="13825" width="15.5703125" style="364" customWidth="1"/>
    <col min="13826" max="14080" width="9.140625" style="364"/>
    <col min="14081" max="14081" width="15.5703125" style="364" customWidth="1"/>
    <col min="14082" max="14336" width="9.140625" style="364"/>
    <col min="14337" max="14337" width="15.5703125" style="364" customWidth="1"/>
    <col min="14338" max="14592" width="9.140625" style="364"/>
    <col min="14593" max="14593" width="15.5703125" style="364" customWidth="1"/>
    <col min="14594" max="14848" width="9.140625" style="364"/>
    <col min="14849" max="14849" width="15.5703125" style="364" customWidth="1"/>
    <col min="14850" max="15104" width="9.140625" style="364"/>
    <col min="15105" max="15105" width="15.5703125" style="364" customWidth="1"/>
    <col min="15106" max="15360" width="9.140625" style="364"/>
    <col min="15361" max="15361" width="15.5703125" style="364" customWidth="1"/>
    <col min="15362" max="15616" width="9.140625" style="364"/>
    <col min="15617" max="15617" width="15.5703125" style="364" customWidth="1"/>
    <col min="15618" max="15872" width="9.140625" style="364"/>
    <col min="15873" max="15873" width="15.5703125" style="364" customWidth="1"/>
    <col min="15874" max="16128" width="9.140625" style="364"/>
    <col min="16129" max="16129" width="15.5703125" style="364" customWidth="1"/>
    <col min="16130" max="16384" width="9.140625" style="364"/>
  </cols>
  <sheetData>
    <row r="1" spans="1:23" s="1" customFormat="1" ht="35.25" customHeight="1" x14ac:dyDescent="0.25">
      <c r="G1" s="72"/>
      <c r="H1" s="72"/>
      <c r="I1" s="72"/>
    </row>
    <row r="2" spans="1:23" s="77" customFormat="1" ht="46.5" customHeight="1" x14ac:dyDescent="0.7">
      <c r="B2" s="81"/>
      <c r="C2" s="81"/>
      <c r="D2" s="81"/>
      <c r="E2" s="955" t="s">
        <v>188</v>
      </c>
      <c r="F2" s="955"/>
      <c r="G2" s="955"/>
      <c r="H2" s="955"/>
      <c r="I2" s="955"/>
      <c r="J2" s="955"/>
      <c r="K2" s="955"/>
      <c r="L2" s="955"/>
      <c r="M2" s="955"/>
      <c r="N2" s="955"/>
      <c r="O2" s="955"/>
      <c r="P2" s="955"/>
      <c r="Q2" s="955"/>
      <c r="R2" s="955"/>
      <c r="S2" s="955"/>
      <c r="T2" s="955"/>
      <c r="U2" s="955"/>
      <c r="V2" s="955"/>
      <c r="W2" s="955"/>
    </row>
    <row r="5" spans="1:23" x14ac:dyDescent="0.2">
      <c r="A5" s="363" t="s">
        <v>111</v>
      </c>
      <c r="B5" s="363" t="s">
        <v>112</v>
      </c>
      <c r="F5" s="364" t="s">
        <v>113</v>
      </c>
    </row>
    <row r="7" spans="1:23" s="366" customFormat="1" x14ac:dyDescent="0.2">
      <c r="A7" s="365" t="s">
        <v>114</v>
      </c>
      <c r="B7" s="366" t="s">
        <v>115</v>
      </c>
      <c r="F7" s="367">
        <v>81</v>
      </c>
    </row>
    <row r="8" spans="1:23" s="366" customFormat="1" x14ac:dyDescent="0.2">
      <c r="A8" s="365" t="s">
        <v>116</v>
      </c>
      <c r="B8" s="366" t="s">
        <v>115</v>
      </c>
      <c r="F8" s="367">
        <v>607</v>
      </c>
    </row>
    <row r="9" spans="1:23" s="366" customFormat="1" x14ac:dyDescent="0.2">
      <c r="A9" s="365" t="s">
        <v>117</v>
      </c>
      <c r="B9" s="366" t="s">
        <v>115</v>
      </c>
      <c r="F9" s="367">
        <v>122</v>
      </c>
    </row>
    <row r="10" spans="1:23" s="366" customFormat="1" x14ac:dyDescent="0.2">
      <c r="A10" s="365" t="s">
        <v>120</v>
      </c>
      <c r="B10" s="366" t="s">
        <v>121</v>
      </c>
      <c r="F10" s="367">
        <v>61</v>
      </c>
    </row>
    <row r="11" spans="1:23" s="366" customFormat="1" x14ac:dyDescent="0.2">
      <c r="A11" s="365" t="s">
        <v>122</v>
      </c>
      <c r="B11" s="366" t="s">
        <v>115</v>
      </c>
      <c r="F11" s="367">
        <v>58</v>
      </c>
    </row>
    <row r="13" spans="1:23" ht="18" x14ac:dyDescent="0.25">
      <c r="A13" s="368" t="s">
        <v>32</v>
      </c>
      <c r="F13" s="369">
        <f>SUM(F7:F11)</f>
        <v>929</v>
      </c>
      <c r="H13" s="368">
        <f>ROWS(A7:A11)</f>
        <v>5</v>
      </c>
    </row>
    <row r="16" spans="1:23" s="7" customFormat="1" ht="15" x14ac:dyDescent="0.25">
      <c r="A16" s="370" t="s">
        <v>123</v>
      </c>
      <c r="B16" s="7" t="s">
        <v>124</v>
      </c>
      <c r="F16" s="51">
        <v>64</v>
      </c>
    </row>
    <row r="17" spans="1:14" s="7" customFormat="1" ht="15" x14ac:dyDescent="0.25">
      <c r="A17" s="370" t="s">
        <v>125</v>
      </c>
      <c r="B17" s="7" t="s">
        <v>124</v>
      </c>
      <c r="F17" s="51">
        <v>35</v>
      </c>
    </row>
    <row r="18" spans="1:14" s="7" customFormat="1" ht="15" x14ac:dyDescent="0.25">
      <c r="A18" s="370" t="s">
        <v>126</v>
      </c>
      <c r="B18" s="7" t="s">
        <v>127</v>
      </c>
      <c r="F18" s="51">
        <v>26</v>
      </c>
    </row>
    <row r="19" spans="1:14" s="7" customFormat="1" ht="15" x14ac:dyDescent="0.25">
      <c r="A19" s="370" t="s">
        <v>128</v>
      </c>
      <c r="B19" s="7" t="s">
        <v>124</v>
      </c>
      <c r="F19" s="51">
        <v>68</v>
      </c>
    </row>
    <row r="20" spans="1:14" s="7" customFormat="1" ht="18.75" x14ac:dyDescent="0.3">
      <c r="A20" s="370" t="s">
        <v>129</v>
      </c>
      <c r="B20" s="7" t="s">
        <v>124</v>
      </c>
      <c r="F20" s="51">
        <v>24</v>
      </c>
      <c r="K20" s="371" t="s">
        <v>144</v>
      </c>
      <c r="L20" s="371"/>
      <c r="N20" s="371">
        <f>H13+H35</f>
        <v>22</v>
      </c>
    </row>
    <row r="21" spans="1:14" s="7" customFormat="1" ht="15" x14ac:dyDescent="0.25">
      <c r="A21" s="370" t="s">
        <v>130</v>
      </c>
      <c r="B21" s="7" t="s">
        <v>124</v>
      </c>
      <c r="F21" s="51">
        <v>13</v>
      </c>
    </row>
    <row r="22" spans="1:14" s="366" customFormat="1" x14ac:dyDescent="0.2">
      <c r="A22" s="365" t="s">
        <v>118</v>
      </c>
      <c r="B22" s="366" t="s">
        <v>119</v>
      </c>
      <c r="F22" s="367">
        <v>87</v>
      </c>
    </row>
    <row r="23" spans="1:14" s="7" customFormat="1" ht="15" x14ac:dyDescent="0.25">
      <c r="A23" s="370" t="s">
        <v>131</v>
      </c>
      <c r="B23" s="7" t="s">
        <v>127</v>
      </c>
      <c r="F23" s="51">
        <v>86</v>
      </c>
    </row>
    <row r="24" spans="1:14" s="7" customFormat="1" ht="15" x14ac:dyDescent="0.25">
      <c r="A24" s="370" t="s">
        <v>132</v>
      </c>
      <c r="B24" s="7" t="s">
        <v>127</v>
      </c>
      <c r="F24" s="51">
        <v>33</v>
      </c>
    </row>
    <row r="25" spans="1:14" s="7" customFormat="1" ht="15" x14ac:dyDescent="0.25">
      <c r="A25" s="370" t="s">
        <v>133</v>
      </c>
      <c r="B25" s="7" t="s">
        <v>127</v>
      </c>
      <c r="F25" s="51">
        <v>103</v>
      </c>
    </row>
    <row r="26" spans="1:14" s="7" customFormat="1" ht="15" x14ac:dyDescent="0.25">
      <c r="A26" s="370" t="s">
        <v>134</v>
      </c>
      <c r="B26" s="7" t="s">
        <v>124</v>
      </c>
      <c r="F26" s="51">
        <v>22</v>
      </c>
    </row>
    <row r="27" spans="1:14" s="7" customFormat="1" ht="15" x14ac:dyDescent="0.25">
      <c r="A27" s="370" t="s">
        <v>135</v>
      </c>
      <c r="B27" s="7" t="s">
        <v>127</v>
      </c>
      <c r="F27" s="51">
        <v>72</v>
      </c>
    </row>
    <row r="28" spans="1:14" s="7" customFormat="1" ht="15" x14ac:dyDescent="0.25">
      <c r="A28" s="370" t="s">
        <v>136</v>
      </c>
      <c r="B28" s="7" t="s">
        <v>124</v>
      </c>
      <c r="F28" s="51">
        <v>44</v>
      </c>
    </row>
    <row r="29" spans="1:14" s="7" customFormat="1" ht="15" x14ac:dyDescent="0.25">
      <c r="A29" s="370" t="s">
        <v>137</v>
      </c>
      <c r="B29" s="7" t="s">
        <v>124</v>
      </c>
      <c r="F29" s="51">
        <v>54</v>
      </c>
    </row>
    <row r="30" spans="1:14" s="7" customFormat="1" ht="15" x14ac:dyDescent="0.25">
      <c r="A30" s="370" t="s">
        <v>138</v>
      </c>
      <c r="B30" s="7" t="s">
        <v>127</v>
      </c>
      <c r="F30" s="51">
        <v>57</v>
      </c>
    </row>
    <row r="31" spans="1:14" s="7" customFormat="1" ht="15" x14ac:dyDescent="0.25">
      <c r="A31" s="370" t="s">
        <v>139</v>
      </c>
      <c r="B31" s="7" t="s">
        <v>127</v>
      </c>
      <c r="F31" s="51">
        <v>7</v>
      </c>
    </row>
    <row r="32" spans="1:14" s="7" customFormat="1" ht="15" x14ac:dyDescent="0.25">
      <c r="A32" s="370" t="s">
        <v>140</v>
      </c>
      <c r="B32" s="7" t="s">
        <v>127</v>
      </c>
      <c r="F32" s="51">
        <v>35</v>
      </c>
    </row>
    <row r="35" spans="6:8" ht="18" x14ac:dyDescent="0.25">
      <c r="F35" s="368">
        <f>SUM(F16:F32)</f>
        <v>830</v>
      </c>
      <c r="H35" s="368">
        <f>ROWS(A16:A32)</f>
        <v>17</v>
      </c>
    </row>
  </sheetData>
  <mergeCells count="1">
    <mergeCell ref="E2:W2"/>
  </mergeCells>
  <pageMargins left="0.7" right="0.7" top="0.75" bottom="0.75" header="0.3" footer="0.3"/>
  <pageSetup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X64"/>
  <sheetViews>
    <sheetView zoomScale="90" zoomScaleNormal="90" workbookViewId="0">
      <selection activeCell="H7" sqref="H7:H11"/>
    </sheetView>
  </sheetViews>
  <sheetFormatPr defaultRowHeight="15" x14ac:dyDescent="0.25"/>
  <cols>
    <col min="1" max="1" width="20.85546875" style="381" customWidth="1"/>
    <col min="2" max="2" width="13.28515625" style="381" customWidth="1"/>
    <col min="3" max="3" width="11.7109375" style="381" customWidth="1"/>
    <col min="4" max="4" width="12.5703125" style="381" customWidth="1"/>
    <col min="5" max="5" width="14.28515625" style="381" customWidth="1"/>
    <col min="6" max="6" width="9.140625" style="381"/>
    <col min="7" max="7" width="17.5703125" style="381" customWidth="1"/>
    <col min="8" max="8" width="12.28515625" style="381" customWidth="1"/>
    <col min="9" max="9" width="12.7109375" style="381" customWidth="1"/>
    <col min="10" max="10" width="13.7109375" style="381" customWidth="1"/>
    <col min="11" max="11" width="13.5703125" style="381" customWidth="1"/>
    <col min="12" max="12" width="9.140625" style="381"/>
    <col min="13" max="13" width="15.85546875" style="381" customWidth="1"/>
    <col min="14" max="14" width="14.85546875" style="381" customWidth="1"/>
    <col min="15" max="15" width="13.42578125" style="381" customWidth="1"/>
    <col min="16" max="16" width="13" style="381" customWidth="1"/>
    <col min="17" max="17" width="13.7109375" style="381" customWidth="1"/>
    <col min="18" max="16384" width="9.140625" style="381"/>
  </cols>
  <sheetData>
    <row r="1" spans="1:24" s="400" customFormat="1" ht="15" customHeight="1" x14ac:dyDescent="0.4">
      <c r="A1" s="956" t="s">
        <v>209</v>
      </c>
      <c r="B1" s="956"/>
      <c r="C1" s="956"/>
      <c r="D1" s="956"/>
      <c r="E1" s="956"/>
      <c r="F1" s="956"/>
      <c r="G1" s="956"/>
      <c r="H1" s="956"/>
      <c r="I1" s="956"/>
      <c r="J1" s="956"/>
      <c r="K1" s="956"/>
      <c r="L1" s="956"/>
      <c r="M1" s="956"/>
      <c r="N1" s="956"/>
      <c r="O1" s="956"/>
      <c r="P1" s="956"/>
      <c r="Q1" s="956"/>
      <c r="R1" s="404"/>
      <c r="S1" s="404"/>
      <c r="T1" s="404"/>
      <c r="U1" s="404"/>
      <c r="V1" s="404"/>
      <c r="W1" s="404"/>
      <c r="X1" s="404"/>
    </row>
    <row r="2" spans="1:24" s="403" customFormat="1" ht="15" customHeight="1" x14ac:dyDescent="0.4">
      <c r="A2" s="956"/>
      <c r="B2" s="956"/>
      <c r="C2" s="956"/>
      <c r="D2" s="956"/>
      <c r="E2" s="956"/>
      <c r="F2" s="956"/>
      <c r="G2" s="956"/>
      <c r="H2" s="956"/>
      <c r="I2" s="956"/>
      <c r="J2" s="956"/>
      <c r="K2" s="956"/>
      <c r="L2" s="956"/>
      <c r="M2" s="956"/>
      <c r="N2" s="956"/>
      <c r="O2" s="956"/>
      <c r="P2" s="956"/>
      <c r="Q2" s="956"/>
      <c r="R2" s="404"/>
      <c r="S2" s="404"/>
      <c r="T2" s="404"/>
      <c r="U2" s="404"/>
      <c r="V2" s="404"/>
      <c r="W2" s="404"/>
      <c r="X2" s="404"/>
    </row>
    <row r="3" spans="1:24" s="403" customFormat="1" x14ac:dyDescent="0.25">
      <c r="A3" s="956"/>
      <c r="B3" s="956"/>
      <c r="C3" s="956"/>
      <c r="D3" s="956"/>
      <c r="E3" s="956"/>
      <c r="F3" s="956"/>
      <c r="G3" s="956"/>
      <c r="H3" s="956"/>
      <c r="I3" s="956"/>
      <c r="J3" s="956"/>
      <c r="K3" s="956"/>
      <c r="L3" s="956"/>
      <c r="M3" s="956"/>
      <c r="N3" s="956"/>
      <c r="O3" s="956"/>
      <c r="P3" s="956"/>
      <c r="Q3" s="956"/>
    </row>
    <row r="5" spans="1:24" s="401" customFormat="1" ht="15.75" x14ac:dyDescent="0.25">
      <c r="G5" s="958" t="s">
        <v>213</v>
      </c>
      <c r="H5" s="958"/>
      <c r="I5" s="958"/>
      <c r="J5" s="958"/>
      <c r="K5" s="958"/>
      <c r="L5" s="958"/>
    </row>
    <row r="6" spans="1:24" ht="15.75" thickBot="1" x14ac:dyDescent="0.3">
      <c r="G6" s="391" t="s">
        <v>210</v>
      </c>
      <c r="H6" s="391" t="s">
        <v>55</v>
      </c>
      <c r="I6" s="392" t="s">
        <v>81</v>
      </c>
      <c r="J6" s="391" t="s">
        <v>56</v>
      </c>
      <c r="K6" s="392" t="s">
        <v>81</v>
      </c>
    </row>
    <row r="7" spans="1:24" ht="31.5" thickTop="1" thickBot="1" x14ac:dyDescent="0.3">
      <c r="B7" s="411" t="s">
        <v>15</v>
      </c>
      <c r="C7" s="412">
        <f>Summary!K6</f>
        <v>0.03</v>
      </c>
      <c r="G7" s="405" t="str">
        <f>Prevention!E10</f>
        <v>Water Fluoridation</v>
      </c>
      <c r="H7" s="406">
        <f>Fluoridation!L9</f>
        <v>18125</v>
      </c>
      <c r="I7" s="407">
        <f>Fluoridation!K9*Fluoridation!D12</f>
        <v>18125</v>
      </c>
      <c r="J7" s="406">
        <f>Fluoridation!M9</f>
        <v>200280</v>
      </c>
      <c r="K7" s="408">
        <f>Fluoridation!K9*Fluoridation!E12</f>
        <v>79750</v>
      </c>
    </row>
    <row r="8" spans="1:24" ht="16.5" thickTop="1" thickBot="1" x14ac:dyDescent="0.3">
      <c r="G8" s="409" t="str">
        <f>Prevention!E11</f>
        <v>Dental Sealants</v>
      </c>
      <c r="H8" s="406">
        <f>Sealants!M14</f>
        <v>12420</v>
      </c>
      <c r="I8" s="410"/>
      <c r="J8" s="406">
        <f>Sealants!N14</f>
        <v>226938.23999999999</v>
      </c>
      <c r="K8" s="408"/>
    </row>
    <row r="9" spans="1:24" ht="31.5" thickTop="1" thickBot="1" x14ac:dyDescent="0.3">
      <c r="B9" s="411" t="s">
        <v>212</v>
      </c>
      <c r="C9" s="946" t="s">
        <v>60</v>
      </c>
      <c r="D9" s="946"/>
      <c r="G9" s="409" t="str">
        <f>Prevention!E12</f>
        <v>Fluoride Varnish</v>
      </c>
      <c r="H9" s="406">
        <f>Varnish!K14</f>
        <v>62923.154999999999</v>
      </c>
      <c r="I9" s="410"/>
      <c r="J9" s="406">
        <f>Varnish!L14</f>
        <v>146775</v>
      </c>
      <c r="K9" s="408"/>
    </row>
    <row r="10" spans="1:24" ht="31.5" thickTop="1" thickBot="1" x14ac:dyDescent="0.3">
      <c r="G10" s="405" t="str">
        <f>Prevention!E13</f>
        <v>Toothbrush/      Toothpaste</v>
      </c>
      <c r="H10" s="406">
        <f>Toothbrushes!L9</f>
        <v>62315.000000000007</v>
      </c>
      <c r="I10" s="410"/>
      <c r="J10" s="406">
        <f>Toothbrushes!M9</f>
        <v>113300</v>
      </c>
      <c r="K10" s="408"/>
    </row>
    <row r="11" spans="1:24" ht="16.5" thickTop="1" thickBot="1" x14ac:dyDescent="0.3">
      <c r="G11" s="409" t="str">
        <f>Prevention!E14</f>
        <v>Initial Exam</v>
      </c>
      <c r="H11" s="406">
        <f>Initial_exam!J8</f>
        <v>10850.76</v>
      </c>
      <c r="I11" s="410"/>
      <c r="J11" s="406">
        <f>Initial_exam!K8</f>
        <v>38178.600000000006</v>
      </c>
      <c r="K11" s="408"/>
    </row>
    <row r="12" spans="1:24" ht="15.75" thickTop="1" x14ac:dyDescent="0.25">
      <c r="H12" s="393"/>
      <c r="I12" s="393"/>
      <c r="J12" s="394"/>
      <c r="K12" s="394"/>
    </row>
    <row r="13" spans="1:24" x14ac:dyDescent="0.25">
      <c r="B13" s="393"/>
      <c r="C13" s="393"/>
      <c r="D13" s="394"/>
      <c r="E13" s="394"/>
    </row>
    <row r="14" spans="1:24" ht="15.75" x14ac:dyDescent="0.25">
      <c r="A14" s="416" t="str">
        <f>Summary!B11</f>
        <v>Water Fluoridation</v>
      </c>
      <c r="B14" s="942" t="s">
        <v>150</v>
      </c>
      <c r="C14" s="942"/>
      <c r="D14" s="942"/>
      <c r="E14" s="942"/>
      <c r="G14" s="416" t="s">
        <v>3</v>
      </c>
      <c r="H14" s="959" t="s">
        <v>150</v>
      </c>
      <c r="I14" s="959"/>
      <c r="J14" s="959"/>
      <c r="K14" s="959"/>
      <c r="M14" s="416" t="str">
        <f>Summary!B13</f>
        <v>Fluoride Varnish</v>
      </c>
      <c r="N14" s="942" t="s">
        <v>150</v>
      </c>
      <c r="O14" s="942"/>
      <c r="P14" s="942"/>
      <c r="Q14" s="942"/>
    </row>
    <row r="15" spans="1:24" ht="15" customHeight="1" x14ac:dyDescent="0.25">
      <c r="A15" s="382" t="s">
        <v>58</v>
      </c>
      <c r="B15" s="381" t="s">
        <v>57</v>
      </c>
      <c r="C15" s="381" t="s">
        <v>61</v>
      </c>
      <c r="D15" s="381" t="s">
        <v>59</v>
      </c>
      <c r="E15" s="381" t="s">
        <v>61</v>
      </c>
      <c r="G15" s="382" t="s">
        <v>58</v>
      </c>
      <c r="H15" s="381" t="s">
        <v>57</v>
      </c>
      <c r="I15" s="381" t="s">
        <v>61</v>
      </c>
      <c r="J15" s="381" t="s">
        <v>59</v>
      </c>
      <c r="K15" s="381" t="s">
        <v>61</v>
      </c>
      <c r="M15" s="382" t="s">
        <v>58</v>
      </c>
      <c r="N15" s="381" t="s">
        <v>57</v>
      </c>
      <c r="O15" s="381" t="s">
        <v>61</v>
      </c>
      <c r="P15" s="381" t="s">
        <v>59</v>
      </c>
      <c r="Q15" s="381" t="s">
        <v>61</v>
      </c>
    </row>
    <row r="16" spans="1:24" ht="15" customHeight="1" x14ac:dyDescent="0.25">
      <c r="A16" s="382">
        <v>1</v>
      </c>
      <c r="B16" s="396">
        <f>H7/(1+C7)^A16</f>
        <v>17597.087378640776</v>
      </c>
      <c r="C16" s="397">
        <f>B16</f>
        <v>17597.087378640776</v>
      </c>
      <c r="D16" s="397">
        <f>J7/(1+C7)^A16</f>
        <v>194446.60194174756</v>
      </c>
      <c r="E16" s="395">
        <f>D16</f>
        <v>194446.60194174756</v>
      </c>
      <c r="G16" s="382">
        <v>1</v>
      </c>
      <c r="H16" s="397">
        <f>$H$8/(1+$C$7)^G16</f>
        <v>12058.252427184465</v>
      </c>
      <c r="I16" s="413">
        <f>H16</f>
        <v>12058.252427184465</v>
      </c>
      <c r="J16" s="397">
        <f>$J$8/((1+$C$7))^G16</f>
        <v>220328.38834951454</v>
      </c>
      <c r="K16" s="413">
        <f>J16</f>
        <v>220328.38834951454</v>
      </c>
      <c r="M16" s="382">
        <v>1</v>
      </c>
      <c r="N16" s="398">
        <f t="shared" ref="N16:N25" si="0">$H$9/(1+$C$7)^M16</f>
        <v>61090.441747572811</v>
      </c>
      <c r="O16" s="395">
        <f>N16</f>
        <v>61090.441747572811</v>
      </c>
      <c r="P16" s="396">
        <f t="shared" ref="P16:P25" si="1">$J$9/(1+$C$7)^M16</f>
        <v>142500</v>
      </c>
      <c r="Q16" s="395">
        <f>P16</f>
        <v>142500</v>
      </c>
    </row>
    <row r="17" spans="1:17" ht="15" customHeight="1" x14ac:dyDescent="0.25">
      <c r="A17" s="382">
        <v>2</v>
      </c>
      <c r="B17" s="398">
        <f>$I$7/(1+$C$7)^$A$17</f>
        <v>17084.550853049299</v>
      </c>
      <c r="C17" s="398">
        <f>C16+B17</f>
        <v>34681.638231690071</v>
      </c>
      <c r="D17" s="398">
        <f t="shared" ref="D17:D25" si="2">$K$7/(1+$C$7)^A17</f>
        <v>75172.023753416914</v>
      </c>
      <c r="E17" s="398">
        <f>E16+D17</f>
        <v>269618.62569516449</v>
      </c>
      <c r="G17" s="382">
        <v>2</v>
      </c>
      <c r="H17" s="397">
        <f t="shared" ref="H17:H25" si="3">$H$8/(1+$C$7)^G17</f>
        <v>11707.041191441229</v>
      </c>
      <c r="I17" s="398">
        <f>I16+H17</f>
        <v>23765.293618625692</v>
      </c>
      <c r="J17" s="397">
        <f t="shared" ref="J17:J25" si="4">$J$8/((1+$C$7))^G17</f>
        <v>213911.05665001413</v>
      </c>
      <c r="K17" s="398">
        <f>K16+J17</f>
        <v>434239.4449995287</v>
      </c>
      <c r="M17" s="382">
        <v>2</v>
      </c>
      <c r="N17" s="398">
        <f t="shared" si="0"/>
        <v>59311.108492789142</v>
      </c>
      <c r="O17" s="395">
        <f>O16+N17</f>
        <v>120401.55024036195</v>
      </c>
      <c r="P17" s="396">
        <f t="shared" si="1"/>
        <v>138349.51456310682</v>
      </c>
      <c r="Q17" s="395">
        <f>Q16+P17</f>
        <v>280849.51456310682</v>
      </c>
    </row>
    <row r="18" spans="1:17" ht="15" customHeight="1" x14ac:dyDescent="0.25">
      <c r="A18" s="382">
        <v>3</v>
      </c>
      <c r="B18" s="398">
        <f>$I$7/(1+$C$7)^$A$18</f>
        <v>16586.942575776018</v>
      </c>
      <c r="C18" s="398">
        <f>C17+B18</f>
        <v>51268.580807466089</v>
      </c>
      <c r="D18" s="398">
        <f t="shared" si="2"/>
        <v>72982.547333414477</v>
      </c>
      <c r="E18" s="398">
        <f>E17+D18</f>
        <v>342601.17302857898</v>
      </c>
      <c r="G18" s="382">
        <v>3</v>
      </c>
      <c r="H18" s="397">
        <f t="shared" si="3"/>
        <v>11366.059409166242</v>
      </c>
      <c r="I18" s="398">
        <f t="shared" ref="I18:I25" si="5">I17+H18</f>
        <v>35131.353027791934</v>
      </c>
      <c r="J18" s="397">
        <f t="shared" si="4"/>
        <v>207680.63752428556</v>
      </c>
      <c r="K18" s="398">
        <f t="shared" ref="K18:K25" si="6">K17+J18</f>
        <v>641920.08252381429</v>
      </c>
      <c r="M18" s="382">
        <v>3</v>
      </c>
      <c r="N18" s="398">
        <f t="shared" si="0"/>
        <v>57583.600478436056</v>
      </c>
      <c r="O18" s="395">
        <f t="shared" ref="O18:O25" si="7">O17+N18</f>
        <v>177985.15071879799</v>
      </c>
      <c r="P18" s="396">
        <f t="shared" si="1"/>
        <v>134319.91705155998</v>
      </c>
      <c r="Q18" s="395">
        <f t="shared" ref="Q18:Q25" si="8">Q17+P18</f>
        <v>415169.43161466683</v>
      </c>
    </row>
    <row r="19" spans="1:17" x14ac:dyDescent="0.25">
      <c r="A19" s="382">
        <v>4</v>
      </c>
      <c r="B19" s="398">
        <f>$I$7/(1+$C$7)^$A$19</f>
        <v>16103.827743471862</v>
      </c>
      <c r="C19" s="398">
        <f t="shared" ref="C19:C25" si="9">C18+B19</f>
        <v>67372.408550937951</v>
      </c>
      <c r="D19" s="398">
        <f t="shared" si="2"/>
        <v>70856.842071276202</v>
      </c>
      <c r="E19" s="398">
        <f t="shared" ref="E19:E25" si="10">E18+D19</f>
        <v>413458.0150998552</v>
      </c>
      <c r="G19" s="382">
        <v>4</v>
      </c>
      <c r="H19" s="397">
        <f t="shared" si="3"/>
        <v>11035.009135112858</v>
      </c>
      <c r="I19" s="398">
        <f t="shared" si="5"/>
        <v>46166.362162904792</v>
      </c>
      <c r="J19" s="397">
        <f t="shared" si="4"/>
        <v>201631.68691678211</v>
      </c>
      <c r="K19" s="398">
        <f t="shared" si="6"/>
        <v>843551.76944059646</v>
      </c>
      <c r="M19" s="382">
        <v>4</v>
      </c>
      <c r="N19" s="398">
        <f t="shared" si="0"/>
        <v>55906.408231491325</v>
      </c>
      <c r="O19" s="395">
        <f t="shared" si="7"/>
        <v>233891.55895028933</v>
      </c>
      <c r="P19" s="396">
        <f t="shared" si="1"/>
        <v>130407.68645782524</v>
      </c>
      <c r="Q19" s="395">
        <f t="shared" si="8"/>
        <v>545577.11807249207</v>
      </c>
    </row>
    <row r="20" spans="1:17" x14ac:dyDescent="0.25">
      <c r="A20" s="382">
        <v>5</v>
      </c>
      <c r="B20" s="398">
        <f>$I$7/(1+$C$7)^$A$20</f>
        <v>15634.784216962975</v>
      </c>
      <c r="C20" s="398">
        <f t="shared" si="9"/>
        <v>83007.192767900924</v>
      </c>
      <c r="D20" s="398">
        <f t="shared" si="2"/>
        <v>68793.050554637084</v>
      </c>
      <c r="E20" s="398">
        <f t="shared" si="10"/>
        <v>482251.0656544923</v>
      </c>
      <c r="G20" s="382">
        <v>5</v>
      </c>
      <c r="H20" s="397">
        <f t="shared" si="3"/>
        <v>10713.601102051318</v>
      </c>
      <c r="I20" s="398">
        <f t="shared" si="5"/>
        <v>56879.96326495611</v>
      </c>
      <c r="J20" s="397">
        <f t="shared" si="4"/>
        <v>195758.91933668169</v>
      </c>
      <c r="K20" s="398">
        <f t="shared" si="6"/>
        <v>1039310.6887772782</v>
      </c>
      <c r="M20" s="382">
        <v>5</v>
      </c>
      <c r="N20" s="398">
        <f t="shared" si="0"/>
        <v>54278.066244166337</v>
      </c>
      <c r="O20" s="395">
        <f t="shared" si="7"/>
        <v>288169.62519445567</v>
      </c>
      <c r="P20" s="396">
        <f t="shared" si="1"/>
        <v>126609.40432798569</v>
      </c>
      <c r="Q20" s="395">
        <f t="shared" si="8"/>
        <v>672186.52240047778</v>
      </c>
    </row>
    <row r="21" spans="1:17" x14ac:dyDescent="0.25">
      <c r="A21" s="382">
        <v>6</v>
      </c>
      <c r="B21" s="398">
        <f>$I$7/(1+$C$7)^$A$21</f>
        <v>15179.402152391236</v>
      </c>
      <c r="C21" s="398">
        <f t="shared" si="9"/>
        <v>98186.594920292162</v>
      </c>
      <c r="D21" s="398">
        <f t="shared" si="2"/>
        <v>66789.369470521444</v>
      </c>
      <c r="E21" s="398">
        <f t="shared" si="10"/>
        <v>549040.4351250137</v>
      </c>
      <c r="G21" s="382">
        <v>6</v>
      </c>
      <c r="H21" s="397">
        <f t="shared" si="3"/>
        <v>10401.554468010987</v>
      </c>
      <c r="I21" s="398">
        <f t="shared" si="5"/>
        <v>67281.517732967099</v>
      </c>
      <c r="J21" s="397">
        <f t="shared" si="4"/>
        <v>190057.20323949677</v>
      </c>
      <c r="K21" s="398">
        <f t="shared" si="6"/>
        <v>1229367.892016775</v>
      </c>
      <c r="M21" s="382">
        <v>6</v>
      </c>
      <c r="N21" s="398">
        <f t="shared" si="0"/>
        <v>52697.151693365369</v>
      </c>
      <c r="O21" s="395">
        <f t="shared" si="7"/>
        <v>340866.77688782103</v>
      </c>
      <c r="P21" s="396">
        <f t="shared" si="1"/>
        <v>122921.75177474337</v>
      </c>
      <c r="Q21" s="395">
        <f t="shared" si="8"/>
        <v>795108.2741752211</v>
      </c>
    </row>
    <row r="22" spans="1:17" x14ac:dyDescent="0.25">
      <c r="A22" s="382">
        <v>7</v>
      </c>
      <c r="B22" s="398">
        <f>$I$7/(1+$C$7)^$A$22</f>
        <v>14737.283643098286</v>
      </c>
      <c r="C22" s="398">
        <f t="shared" si="9"/>
        <v>112923.87856339045</v>
      </c>
      <c r="D22" s="398">
        <f t="shared" si="2"/>
        <v>64844.04802963246</v>
      </c>
      <c r="E22" s="398">
        <f t="shared" si="10"/>
        <v>613884.48315464612</v>
      </c>
      <c r="G22" s="382">
        <v>7</v>
      </c>
      <c r="H22" s="397">
        <f t="shared" si="3"/>
        <v>10098.596570884454</v>
      </c>
      <c r="I22" s="398">
        <f t="shared" si="5"/>
        <v>77380.114303851558</v>
      </c>
      <c r="J22" s="397">
        <f t="shared" si="4"/>
        <v>184521.55654320074</v>
      </c>
      <c r="K22" s="398">
        <f t="shared" si="6"/>
        <v>1413889.4485599757</v>
      </c>
      <c r="M22" s="382">
        <v>7</v>
      </c>
      <c r="N22" s="398">
        <f t="shared" si="0"/>
        <v>51162.283197442106</v>
      </c>
      <c r="O22" s="395">
        <f t="shared" si="7"/>
        <v>392029.06008526316</v>
      </c>
      <c r="P22" s="396">
        <f t="shared" si="1"/>
        <v>119341.50657742075</v>
      </c>
      <c r="Q22" s="395">
        <f t="shared" si="8"/>
        <v>914449.78075264185</v>
      </c>
    </row>
    <row r="23" spans="1:17" x14ac:dyDescent="0.25">
      <c r="A23" s="382">
        <v>8</v>
      </c>
      <c r="B23" s="398">
        <f>$I$7/(1+$C$7)^$A$23</f>
        <v>14308.042371940086</v>
      </c>
      <c r="C23" s="398">
        <f t="shared" si="9"/>
        <v>127231.92093533053</v>
      </c>
      <c r="D23" s="398">
        <f t="shared" si="2"/>
        <v>62955.386436536377</v>
      </c>
      <c r="E23" s="398">
        <f t="shared" si="10"/>
        <v>676839.86959118245</v>
      </c>
      <c r="G23" s="382">
        <v>8</v>
      </c>
      <c r="H23" s="397">
        <f t="shared" si="3"/>
        <v>9804.4626901790816</v>
      </c>
      <c r="I23" s="398">
        <f t="shared" si="5"/>
        <v>87184.576994030635</v>
      </c>
      <c r="J23" s="397">
        <f t="shared" si="4"/>
        <v>179147.14227495217</v>
      </c>
      <c r="K23" s="398">
        <f t="shared" si="6"/>
        <v>1593036.590834928</v>
      </c>
      <c r="M23" s="382">
        <v>8</v>
      </c>
      <c r="N23" s="398">
        <f t="shared" si="0"/>
        <v>49672.119609167101</v>
      </c>
      <c r="O23" s="395">
        <f t="shared" si="7"/>
        <v>441701.17969443026</v>
      </c>
      <c r="P23" s="396">
        <f t="shared" si="1"/>
        <v>115865.54036642793</v>
      </c>
      <c r="Q23" s="395">
        <f t="shared" si="8"/>
        <v>1030315.3211190698</v>
      </c>
    </row>
    <row r="24" spans="1:17" x14ac:dyDescent="0.25">
      <c r="A24" s="382">
        <v>9</v>
      </c>
      <c r="B24" s="398">
        <f>$I$7/(1+$C$7)^$A$24</f>
        <v>13891.303273728239</v>
      </c>
      <c r="C24" s="398">
        <f t="shared" si="9"/>
        <v>141123.22420905877</v>
      </c>
      <c r="D24" s="398">
        <f t="shared" si="2"/>
        <v>61121.734404404247</v>
      </c>
      <c r="E24" s="398">
        <f t="shared" si="10"/>
        <v>737961.60399558675</v>
      </c>
      <c r="G24" s="382">
        <v>9</v>
      </c>
      <c r="H24" s="397">
        <f t="shared" si="3"/>
        <v>9518.8958157078469</v>
      </c>
      <c r="I24" s="398">
        <f t="shared" si="5"/>
        <v>96703.47280973848</v>
      </c>
      <c r="J24" s="397">
        <f t="shared" si="4"/>
        <v>173929.26434461377</v>
      </c>
      <c r="K24" s="398">
        <f t="shared" si="6"/>
        <v>1766965.8551795417</v>
      </c>
      <c r="M24" s="382">
        <v>9</v>
      </c>
      <c r="N24" s="398">
        <f t="shared" si="0"/>
        <v>48225.358843851551</v>
      </c>
      <c r="O24" s="395">
        <f t="shared" si="7"/>
        <v>489926.53853828181</v>
      </c>
      <c r="P24" s="396">
        <f t="shared" si="1"/>
        <v>112490.81588973585</v>
      </c>
      <c r="Q24" s="395">
        <f t="shared" si="8"/>
        <v>1142806.1370088058</v>
      </c>
    </row>
    <row r="25" spans="1:17" x14ac:dyDescent="0.25">
      <c r="A25" s="382">
        <v>10</v>
      </c>
      <c r="B25" s="398">
        <f>$I$7/(1+$C$7)^$A$25</f>
        <v>13486.702207503144</v>
      </c>
      <c r="C25" s="398">
        <f t="shared" si="9"/>
        <v>154609.92641656191</v>
      </c>
      <c r="D25" s="398">
        <f t="shared" si="2"/>
        <v>59341.489713013834</v>
      </c>
      <c r="E25" s="398">
        <f t="shared" si="10"/>
        <v>797303.09370860062</v>
      </c>
      <c r="G25" s="382">
        <v>10</v>
      </c>
      <c r="H25" s="397">
        <f t="shared" si="3"/>
        <v>9241.646423017326</v>
      </c>
      <c r="I25" s="398">
        <f t="shared" si="5"/>
        <v>105945.11923275581</v>
      </c>
      <c r="J25" s="397">
        <f t="shared" si="4"/>
        <v>168863.36344137258</v>
      </c>
      <c r="K25" s="398">
        <f t="shared" si="6"/>
        <v>1935829.2186209143</v>
      </c>
      <c r="M25" s="382">
        <v>10</v>
      </c>
      <c r="N25" s="398">
        <f t="shared" si="0"/>
        <v>46820.736741603447</v>
      </c>
      <c r="O25" s="395">
        <f t="shared" si="7"/>
        <v>536747.27527988527</v>
      </c>
      <c r="P25" s="396">
        <f t="shared" si="1"/>
        <v>109214.38435896684</v>
      </c>
      <c r="Q25" s="395">
        <f t="shared" si="8"/>
        <v>1252020.5213677725</v>
      </c>
    </row>
    <row r="27" spans="1:17" s="401" customFormat="1" ht="15.75" x14ac:dyDescent="0.25">
      <c r="A27" s="416"/>
      <c r="B27" s="942"/>
      <c r="C27" s="942"/>
      <c r="D27" s="942"/>
      <c r="E27" s="942"/>
      <c r="G27" s="416" t="str">
        <f>Summary!B14</f>
        <v>Toothbrush/      Toothpaste</v>
      </c>
      <c r="H27" s="942" t="s">
        <v>150</v>
      </c>
      <c r="I27" s="942"/>
      <c r="J27" s="942"/>
      <c r="K27" s="942"/>
      <c r="M27" s="416" t="str">
        <f>Summary!B15</f>
        <v>Initial Exam</v>
      </c>
      <c r="N27" s="942" t="s">
        <v>150</v>
      </c>
      <c r="O27" s="942"/>
      <c r="P27" s="942"/>
      <c r="Q27" s="942"/>
    </row>
    <row r="28" spans="1:17" x14ac:dyDescent="0.25">
      <c r="A28" s="382"/>
      <c r="G28" s="382" t="s">
        <v>58</v>
      </c>
      <c r="H28" s="381" t="s">
        <v>57</v>
      </c>
      <c r="I28" s="381" t="s">
        <v>61</v>
      </c>
      <c r="J28" s="381" t="s">
        <v>59</v>
      </c>
      <c r="K28" s="381" t="s">
        <v>61</v>
      </c>
      <c r="M28" s="382" t="s">
        <v>58</v>
      </c>
      <c r="N28" s="381" t="s">
        <v>57</v>
      </c>
      <c r="O28" s="381" t="s">
        <v>61</v>
      </c>
      <c r="P28" s="381" t="s">
        <v>59</v>
      </c>
      <c r="Q28" s="381" t="s">
        <v>61</v>
      </c>
    </row>
    <row r="29" spans="1:17" x14ac:dyDescent="0.25">
      <c r="A29" s="382"/>
      <c r="B29" s="397"/>
      <c r="C29" s="413"/>
      <c r="D29" s="397"/>
      <c r="E29" s="413"/>
      <c r="G29" s="382">
        <v>1</v>
      </c>
      <c r="H29" s="414">
        <f t="shared" ref="H29:H38" si="11">$H$10/(1+$C$7)^G29</f>
        <v>60500.000000000007</v>
      </c>
      <c r="I29" s="399">
        <f>H29</f>
        <v>60500.000000000007</v>
      </c>
      <c r="J29" s="415">
        <f t="shared" ref="J29:J38" si="12">$J$10/(1+$C$7)^G29</f>
        <v>110000</v>
      </c>
      <c r="K29" s="398">
        <f>J29</f>
        <v>110000</v>
      </c>
      <c r="M29" s="382">
        <v>1</v>
      </c>
      <c r="N29" s="397">
        <f t="shared" ref="N29:N38" si="13">$H$11/(1+$C$7)^M29</f>
        <v>10534.718446601943</v>
      </c>
      <c r="O29" s="413">
        <f>N29</f>
        <v>10534.718446601943</v>
      </c>
      <c r="P29" s="397">
        <f t="shared" ref="P29:P38" si="14">$J$11/(1+$C$7)^M29</f>
        <v>37066.601941747576</v>
      </c>
      <c r="Q29" s="413">
        <f>P29</f>
        <v>37066.601941747576</v>
      </c>
    </row>
    <row r="30" spans="1:17" x14ac:dyDescent="0.25">
      <c r="A30" s="382"/>
      <c r="B30" s="397"/>
      <c r="C30" s="413"/>
      <c r="D30" s="397"/>
      <c r="E30" s="413"/>
      <c r="G30" s="382">
        <v>2</v>
      </c>
      <c r="H30" s="414">
        <f t="shared" si="11"/>
        <v>58737.86407766991</v>
      </c>
      <c r="I30" s="399">
        <f>I29+H30</f>
        <v>119237.86407766992</v>
      </c>
      <c r="J30" s="415">
        <f t="shared" si="12"/>
        <v>106796.11650485438</v>
      </c>
      <c r="K30" s="398">
        <f>K29+J30</f>
        <v>216796.11650485438</v>
      </c>
      <c r="M30" s="382">
        <v>2</v>
      </c>
      <c r="N30" s="397">
        <f t="shared" si="13"/>
        <v>10227.881986992177</v>
      </c>
      <c r="O30" s="413">
        <f>O29+N30</f>
        <v>20762.600433594118</v>
      </c>
      <c r="P30" s="397">
        <f t="shared" si="14"/>
        <v>35986.992176453961</v>
      </c>
      <c r="Q30" s="413">
        <f>Q29+P30</f>
        <v>73053.594118201538</v>
      </c>
    </row>
    <row r="31" spans="1:17" x14ac:dyDescent="0.25">
      <c r="A31" s="382"/>
      <c r="B31" s="397"/>
      <c r="C31" s="413"/>
      <c r="D31" s="397"/>
      <c r="E31" s="413"/>
      <c r="G31" s="382">
        <v>3</v>
      </c>
      <c r="H31" s="414">
        <f t="shared" si="11"/>
        <v>57027.052502592145</v>
      </c>
      <c r="I31" s="399">
        <f t="shared" ref="I31:I38" si="15">I30+H31</f>
        <v>176264.91658026207</v>
      </c>
      <c r="J31" s="415">
        <f t="shared" si="12"/>
        <v>103685.55000471298</v>
      </c>
      <c r="K31" s="398">
        <f t="shared" ref="K31:K38" si="16">K30+J31</f>
        <v>320481.66650956735</v>
      </c>
      <c r="M31" s="382">
        <v>3</v>
      </c>
      <c r="N31" s="397">
        <f t="shared" si="13"/>
        <v>9929.9825116428892</v>
      </c>
      <c r="O31" s="413">
        <f t="shared" ref="O31:O38" si="17">O30+N31</f>
        <v>30692.582945237009</v>
      </c>
      <c r="P31" s="397">
        <f t="shared" si="14"/>
        <v>34938.827355780544</v>
      </c>
      <c r="Q31" s="413">
        <f t="shared" ref="Q31:Q38" si="18">Q30+P31</f>
        <v>107992.42147398207</v>
      </c>
    </row>
    <row r="32" spans="1:17" x14ac:dyDescent="0.25">
      <c r="A32" s="382"/>
      <c r="B32" s="397"/>
      <c r="C32" s="413"/>
      <c r="D32" s="397"/>
      <c r="E32" s="413"/>
      <c r="G32" s="382">
        <v>4</v>
      </c>
      <c r="H32" s="414">
        <f t="shared" si="11"/>
        <v>55366.070390866167</v>
      </c>
      <c r="I32" s="399">
        <f t="shared" si="15"/>
        <v>231630.98697112824</v>
      </c>
      <c r="J32" s="415">
        <f t="shared" si="12"/>
        <v>100665.58252884756</v>
      </c>
      <c r="K32" s="398">
        <f t="shared" si="16"/>
        <v>421147.24903841491</v>
      </c>
      <c r="M32" s="382">
        <v>4</v>
      </c>
      <c r="N32" s="397">
        <f t="shared" si="13"/>
        <v>9640.7597200416421</v>
      </c>
      <c r="O32" s="413">
        <f t="shared" si="17"/>
        <v>40333.342665278651</v>
      </c>
      <c r="P32" s="397">
        <f t="shared" si="14"/>
        <v>33921.191607553927</v>
      </c>
      <c r="Q32" s="413">
        <f t="shared" si="18"/>
        <v>141913.61308153599</v>
      </c>
    </row>
    <row r="33" spans="1:17" x14ac:dyDescent="0.25">
      <c r="A33" s="382"/>
      <c r="B33" s="397"/>
      <c r="C33" s="413"/>
      <c r="D33" s="397"/>
      <c r="E33" s="413"/>
      <c r="G33" s="382">
        <v>5</v>
      </c>
      <c r="H33" s="414">
        <f t="shared" si="11"/>
        <v>53753.466398899189</v>
      </c>
      <c r="I33" s="399">
        <f t="shared" si="15"/>
        <v>285384.45337002742</v>
      </c>
      <c r="J33" s="415">
        <f t="shared" si="12"/>
        <v>97733.575270725793</v>
      </c>
      <c r="K33" s="398">
        <f t="shared" si="16"/>
        <v>518880.82430914068</v>
      </c>
      <c r="M33" s="382">
        <v>5</v>
      </c>
      <c r="N33" s="397">
        <f t="shared" si="13"/>
        <v>9359.9608932443134</v>
      </c>
      <c r="O33" s="413">
        <f t="shared" si="17"/>
        <v>49693.303558522966</v>
      </c>
      <c r="P33" s="397">
        <f t="shared" si="14"/>
        <v>32933.195735489251</v>
      </c>
      <c r="Q33" s="413">
        <f t="shared" si="18"/>
        <v>174846.80881702524</v>
      </c>
    </row>
    <row r="34" spans="1:17" x14ac:dyDescent="0.25">
      <c r="A34" s="382"/>
      <c r="B34" s="397"/>
      <c r="C34" s="413"/>
      <c r="D34" s="397"/>
      <c r="E34" s="413"/>
      <c r="G34" s="382">
        <v>6</v>
      </c>
      <c r="H34" s="414">
        <f t="shared" si="11"/>
        <v>52187.831455241932</v>
      </c>
      <c r="I34" s="399">
        <f t="shared" si="15"/>
        <v>337572.28482526937</v>
      </c>
      <c r="J34" s="415">
        <f t="shared" si="12"/>
        <v>94886.966282258043</v>
      </c>
      <c r="K34" s="398">
        <f t="shared" si="16"/>
        <v>613767.79059139872</v>
      </c>
      <c r="M34" s="382">
        <v>6</v>
      </c>
      <c r="N34" s="397">
        <f t="shared" si="13"/>
        <v>9087.3406730527295</v>
      </c>
      <c r="O34" s="413">
        <f t="shared" si="17"/>
        <v>58780.644231575694</v>
      </c>
      <c r="P34" s="397">
        <f t="shared" si="14"/>
        <v>31973.976442222574</v>
      </c>
      <c r="Q34" s="413">
        <f t="shared" si="18"/>
        <v>206820.78525924782</v>
      </c>
    </row>
    <row r="35" spans="1:17" x14ac:dyDescent="0.25">
      <c r="A35" s="382"/>
      <c r="B35" s="397"/>
      <c r="C35" s="413"/>
      <c r="D35" s="397"/>
      <c r="E35" s="413"/>
      <c r="G35" s="382">
        <v>7</v>
      </c>
      <c r="H35" s="414">
        <f t="shared" si="11"/>
        <v>50667.797529361094</v>
      </c>
      <c r="I35" s="399">
        <f t="shared" si="15"/>
        <v>388240.08235463046</v>
      </c>
      <c r="J35" s="415">
        <f t="shared" si="12"/>
        <v>92123.268235201976</v>
      </c>
      <c r="K35" s="398">
        <f t="shared" si="16"/>
        <v>705891.05882660067</v>
      </c>
      <c r="M35" s="382">
        <v>7</v>
      </c>
      <c r="N35" s="397">
        <f t="shared" si="13"/>
        <v>8822.660847624009</v>
      </c>
      <c r="O35" s="413">
        <f t="shared" si="17"/>
        <v>67603.305079199708</v>
      </c>
      <c r="P35" s="397">
        <f t="shared" si="14"/>
        <v>31042.695574973372</v>
      </c>
      <c r="Q35" s="413">
        <f t="shared" si="18"/>
        <v>237863.48083422118</v>
      </c>
    </row>
    <row r="36" spans="1:17" x14ac:dyDescent="0.25">
      <c r="A36" s="382"/>
      <c r="B36" s="397"/>
      <c r="C36" s="413"/>
      <c r="D36" s="397"/>
      <c r="E36" s="413"/>
      <c r="G36" s="382">
        <v>8</v>
      </c>
      <c r="H36" s="414">
        <f t="shared" si="11"/>
        <v>49192.036436272916</v>
      </c>
      <c r="I36" s="399">
        <f t="shared" si="15"/>
        <v>437432.11879090336</v>
      </c>
      <c r="J36" s="415">
        <f t="shared" si="12"/>
        <v>89440.066247768918</v>
      </c>
      <c r="K36" s="398">
        <f t="shared" si="16"/>
        <v>795331.1250743696</v>
      </c>
      <c r="M36" s="382">
        <v>8</v>
      </c>
      <c r="N36" s="397">
        <f t="shared" si="13"/>
        <v>8565.690143324282</v>
      </c>
      <c r="O36" s="413">
        <f t="shared" si="17"/>
        <v>76168.995222523983</v>
      </c>
      <c r="P36" s="397">
        <f t="shared" si="14"/>
        <v>30138.539393178035</v>
      </c>
      <c r="Q36" s="413">
        <f t="shared" si="18"/>
        <v>268002.02022739919</v>
      </c>
    </row>
    <row r="37" spans="1:17" x14ac:dyDescent="0.25">
      <c r="A37" s="382"/>
      <c r="B37" s="397"/>
      <c r="C37" s="413"/>
      <c r="D37" s="397"/>
      <c r="E37" s="413"/>
      <c r="G37" s="382">
        <v>9</v>
      </c>
      <c r="H37" s="414">
        <f t="shared" si="11"/>
        <v>47759.258675993122</v>
      </c>
      <c r="I37" s="399">
        <f t="shared" si="15"/>
        <v>485191.37746689649</v>
      </c>
      <c r="J37" s="415">
        <f t="shared" si="12"/>
        <v>86835.015774532934</v>
      </c>
      <c r="K37" s="398">
        <f t="shared" si="16"/>
        <v>882166.14084890252</v>
      </c>
      <c r="M37" s="382">
        <v>9</v>
      </c>
      <c r="N37" s="397">
        <f t="shared" si="13"/>
        <v>8316.2040226449335</v>
      </c>
      <c r="O37" s="413">
        <f t="shared" si="17"/>
        <v>84485.199245168915</v>
      </c>
      <c r="P37" s="397">
        <f t="shared" si="14"/>
        <v>29260.717857454401</v>
      </c>
      <c r="Q37" s="413">
        <f t="shared" si="18"/>
        <v>297262.73808485357</v>
      </c>
    </row>
    <row r="38" spans="1:17" x14ac:dyDescent="0.25">
      <c r="A38" s="382"/>
      <c r="B38" s="397"/>
      <c r="C38" s="413"/>
      <c r="D38" s="397"/>
      <c r="E38" s="413"/>
      <c r="G38" s="382">
        <v>10</v>
      </c>
      <c r="H38" s="414">
        <f t="shared" si="11"/>
        <v>46368.212306789435</v>
      </c>
      <c r="I38" s="399">
        <f t="shared" si="15"/>
        <v>531559.5897736859</v>
      </c>
      <c r="J38" s="415">
        <f t="shared" si="12"/>
        <v>84305.840557798962</v>
      </c>
      <c r="K38" s="398">
        <f t="shared" si="16"/>
        <v>966471.9814067015</v>
      </c>
      <c r="M38" s="382">
        <v>10</v>
      </c>
      <c r="N38" s="397">
        <f t="shared" si="13"/>
        <v>8073.9844880047904</v>
      </c>
      <c r="O38" s="413">
        <f t="shared" si="17"/>
        <v>92559.183733173704</v>
      </c>
      <c r="P38" s="397">
        <f t="shared" si="14"/>
        <v>28408.463939276116</v>
      </c>
      <c r="Q38" s="413">
        <f t="shared" si="18"/>
        <v>325671.20202412969</v>
      </c>
    </row>
    <row r="40" spans="1:17" ht="15.75" x14ac:dyDescent="0.25">
      <c r="B40" s="957"/>
      <c r="C40" s="957"/>
      <c r="D40" s="957"/>
      <c r="E40" s="957"/>
    </row>
    <row r="41" spans="1:17" x14ac:dyDescent="0.25">
      <c r="A41" s="382"/>
    </row>
    <row r="42" spans="1:17" x14ac:dyDescent="0.25">
      <c r="B42" s="396"/>
      <c r="C42" s="395"/>
      <c r="D42" s="396"/>
      <c r="E42" s="399"/>
    </row>
    <row r="43" spans="1:17" x14ac:dyDescent="0.25">
      <c r="B43" s="396"/>
      <c r="C43" s="395"/>
      <c r="D43" s="396"/>
      <c r="E43" s="399"/>
    </row>
    <row r="44" spans="1:17" x14ac:dyDescent="0.25">
      <c r="B44" s="396"/>
      <c r="C44" s="395"/>
      <c r="D44" s="396"/>
      <c r="E44" s="399"/>
    </row>
    <row r="45" spans="1:17" x14ac:dyDescent="0.25">
      <c r="B45" s="396"/>
      <c r="C45" s="395"/>
      <c r="D45" s="396"/>
      <c r="E45" s="399"/>
    </row>
    <row r="46" spans="1:17" x14ac:dyDescent="0.25">
      <c r="B46" s="396"/>
      <c r="C46" s="395"/>
      <c r="D46" s="396"/>
      <c r="E46" s="399"/>
    </row>
    <row r="47" spans="1:17" x14ac:dyDescent="0.25">
      <c r="B47" s="396"/>
      <c r="C47" s="395"/>
      <c r="D47" s="396"/>
      <c r="E47" s="399"/>
    </row>
    <row r="48" spans="1:17" x14ac:dyDescent="0.25">
      <c r="B48" s="396"/>
      <c r="C48" s="395"/>
      <c r="D48" s="396"/>
      <c r="E48" s="399"/>
    </row>
    <row r="49" spans="1:5" x14ac:dyDescent="0.25">
      <c r="B49" s="396"/>
      <c r="C49" s="395"/>
      <c r="D49" s="396"/>
      <c r="E49" s="399"/>
    </row>
    <row r="50" spans="1:5" x14ac:dyDescent="0.25">
      <c r="B50" s="396"/>
      <c r="C50" s="395"/>
      <c r="D50" s="396"/>
      <c r="E50" s="399"/>
    </row>
    <row r="51" spans="1:5" x14ac:dyDescent="0.25">
      <c r="B51" s="396"/>
      <c r="C51" s="395"/>
      <c r="D51" s="396"/>
      <c r="E51" s="399"/>
    </row>
    <row r="53" spans="1:5" ht="15.75" x14ac:dyDescent="0.25">
      <c r="B53" s="957"/>
      <c r="C53" s="957"/>
      <c r="D53" s="957"/>
      <c r="E53" s="957"/>
    </row>
    <row r="54" spans="1:5" x14ac:dyDescent="0.25">
      <c r="A54" s="382"/>
    </row>
    <row r="55" spans="1:5" x14ac:dyDescent="0.25">
      <c r="B55" s="396"/>
      <c r="C55" s="395"/>
      <c r="D55" s="396"/>
      <c r="E55" s="395"/>
    </row>
    <row r="56" spans="1:5" x14ac:dyDescent="0.25">
      <c r="B56" s="396"/>
      <c r="C56" s="395"/>
      <c r="D56" s="396"/>
      <c r="E56" s="395"/>
    </row>
    <row r="57" spans="1:5" x14ac:dyDescent="0.25">
      <c r="B57" s="396"/>
      <c r="C57" s="395"/>
      <c r="D57" s="396"/>
      <c r="E57" s="395"/>
    </row>
    <row r="58" spans="1:5" x14ac:dyDescent="0.25">
      <c r="B58" s="396"/>
      <c r="C58" s="395"/>
      <c r="D58" s="396"/>
      <c r="E58" s="395"/>
    </row>
    <row r="59" spans="1:5" x14ac:dyDescent="0.25">
      <c r="B59" s="396"/>
      <c r="C59" s="395"/>
      <c r="D59" s="396"/>
      <c r="E59" s="395"/>
    </row>
    <row r="60" spans="1:5" x14ac:dyDescent="0.25">
      <c r="B60" s="396"/>
      <c r="C60" s="395"/>
      <c r="D60" s="396"/>
      <c r="E60" s="395"/>
    </row>
    <row r="61" spans="1:5" x14ac:dyDescent="0.25">
      <c r="B61" s="396"/>
      <c r="C61" s="395"/>
      <c r="D61" s="396"/>
      <c r="E61" s="395"/>
    </row>
    <row r="62" spans="1:5" x14ac:dyDescent="0.25">
      <c r="B62" s="396"/>
      <c r="C62" s="395"/>
      <c r="D62" s="396"/>
      <c r="E62" s="395"/>
    </row>
    <row r="63" spans="1:5" x14ac:dyDescent="0.25">
      <c r="B63" s="396"/>
      <c r="C63" s="395"/>
      <c r="D63" s="396"/>
      <c r="E63" s="395"/>
    </row>
    <row r="64" spans="1:5" x14ac:dyDescent="0.25">
      <c r="B64" s="396"/>
      <c r="C64" s="395"/>
      <c r="D64" s="396"/>
      <c r="E64" s="395"/>
    </row>
  </sheetData>
  <mergeCells count="11">
    <mergeCell ref="A1:Q3"/>
    <mergeCell ref="B53:E53"/>
    <mergeCell ref="G5:L5"/>
    <mergeCell ref="H14:K14"/>
    <mergeCell ref="N14:Q14"/>
    <mergeCell ref="C9:D9"/>
    <mergeCell ref="H27:K27"/>
    <mergeCell ref="N27:Q27"/>
    <mergeCell ref="B14:E14"/>
    <mergeCell ref="B27:E27"/>
    <mergeCell ref="B40:E40"/>
  </mergeCells>
  <pageMargins left="0.7" right="0.7" top="0.75" bottom="0.75" header="0.3" footer="0.3"/>
  <pageSetup orientation="portrait" r:id="rId1"/>
  <ignoredErrors>
    <ignoredError sqref="D16 D17:D25 J16:J25 J29:J38 P29:P38" formula="1"/>
  </ignoredError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U80"/>
  <sheetViews>
    <sheetView topLeftCell="A3" workbookViewId="0">
      <selection activeCell="P10" sqref="P10"/>
    </sheetView>
  </sheetViews>
  <sheetFormatPr defaultRowHeight="15" x14ac:dyDescent="0.25"/>
  <cols>
    <col min="1" max="1" width="22" customWidth="1"/>
    <col min="2" max="3" width="13.5703125" customWidth="1"/>
    <col min="4" max="5" width="15.7109375" customWidth="1"/>
    <col min="6" max="6" width="17" customWidth="1"/>
    <col min="7" max="7" width="15" customWidth="1"/>
    <col min="8" max="8" width="14.140625" customWidth="1"/>
    <col min="9" max="9" width="13.42578125" customWidth="1"/>
    <col min="10" max="10" width="15.7109375" customWidth="1"/>
    <col min="11" max="11" width="13.85546875" customWidth="1"/>
    <col min="12" max="12" width="12.5703125" bestFit="1" customWidth="1"/>
    <col min="13" max="13" width="12.42578125" customWidth="1"/>
    <col min="14" max="14" width="14.85546875" customWidth="1"/>
    <col min="15" max="15" width="11.140625" bestFit="1" customWidth="1"/>
    <col min="17" max="17" width="10.85546875" bestFit="1" customWidth="1"/>
    <col min="18" max="18" width="11.42578125" customWidth="1"/>
    <col min="21" max="21" width="10.5703125" bestFit="1" customWidth="1"/>
  </cols>
  <sheetData>
    <row r="1" spans="1:21" s="67" customFormat="1" x14ac:dyDescent="0.25">
      <c r="B1" s="963" t="s">
        <v>142</v>
      </c>
      <c r="C1" s="964"/>
      <c r="D1" s="964"/>
      <c r="E1" s="964"/>
      <c r="F1" s="964"/>
      <c r="G1" s="964"/>
      <c r="H1" s="964"/>
      <c r="I1" s="964"/>
      <c r="J1" s="964"/>
    </row>
    <row r="2" spans="1:21" s="67" customFormat="1" x14ac:dyDescent="0.25">
      <c r="B2" s="964"/>
      <c r="C2" s="964"/>
      <c r="D2" s="964"/>
      <c r="E2" s="964"/>
      <c r="F2" s="964"/>
      <c r="G2" s="964"/>
      <c r="H2" s="964"/>
      <c r="I2" s="964"/>
      <c r="J2" s="964"/>
    </row>
    <row r="3" spans="1:21" x14ac:dyDescent="0.25">
      <c r="D3" t="s">
        <v>33</v>
      </c>
      <c r="E3" s="80">
        <f>Summary!K6</f>
        <v>0.03</v>
      </c>
      <c r="G3" t="s">
        <v>34</v>
      </c>
      <c r="H3" s="82">
        <f>Summary!I6</f>
        <v>10</v>
      </c>
      <c r="J3" t="s">
        <v>348</v>
      </c>
      <c r="L3" s="297">
        <f>Caries!I13</f>
        <v>7.7340425531914896</v>
      </c>
      <c r="N3" t="s">
        <v>346</v>
      </c>
      <c r="O3" s="528">
        <v>1</v>
      </c>
      <c r="Q3" t="s">
        <v>392</v>
      </c>
    </row>
    <row r="4" spans="1:21" x14ac:dyDescent="0.25">
      <c r="E4" s="80"/>
      <c r="H4" s="82"/>
      <c r="J4" t="s">
        <v>343</v>
      </c>
      <c r="L4">
        <f>161/2575</f>
        <v>6.2524271844660195E-2</v>
      </c>
      <c r="Q4" s="634">
        <f>Caries!E14</f>
        <v>7.3009708737864082E-2</v>
      </c>
    </row>
    <row r="5" spans="1:21" x14ac:dyDescent="0.25">
      <c r="E5" s="136" t="s">
        <v>60</v>
      </c>
      <c r="G5" t="s">
        <v>345</v>
      </c>
      <c r="H5" s="87">
        <f>Caries!N7</f>
        <v>1467.4993480307833</v>
      </c>
      <c r="I5" t="s">
        <v>190</v>
      </c>
      <c r="J5" s="142">
        <f>FMDR!N9</f>
        <v>9348.8899799999999</v>
      </c>
      <c r="N5" s="136" t="s">
        <v>60</v>
      </c>
    </row>
    <row r="6" spans="1:21" x14ac:dyDescent="0.25">
      <c r="E6" s="80"/>
      <c r="H6" s="82"/>
    </row>
    <row r="7" spans="1:21" ht="15.75" x14ac:dyDescent="0.25">
      <c r="B7" s="958" t="s">
        <v>194</v>
      </c>
      <c r="C7" s="958"/>
      <c r="D7" s="958"/>
      <c r="E7" s="958"/>
      <c r="F7" s="960" t="s">
        <v>357</v>
      </c>
      <c r="G7" s="960"/>
      <c r="H7" s="960"/>
      <c r="I7" s="960"/>
      <c r="J7" s="960"/>
      <c r="K7" s="960"/>
      <c r="L7" s="960"/>
      <c r="M7" s="960"/>
      <c r="N7" s="965" t="s">
        <v>352</v>
      </c>
      <c r="O7" s="965"/>
      <c r="P7" s="965"/>
      <c r="Q7" s="965"/>
      <c r="R7" s="965"/>
      <c r="S7" s="965"/>
      <c r="T7" s="965"/>
      <c r="U7" s="965"/>
    </row>
    <row r="8" spans="1:21" s="150" customFormat="1" ht="15.75" thickBot="1" x14ac:dyDescent="0.3">
      <c r="B8" s="150" t="s">
        <v>55</v>
      </c>
      <c r="C8" s="151" t="s">
        <v>81</v>
      </c>
      <c r="D8" s="150" t="s">
        <v>56</v>
      </c>
      <c r="E8" s="151" t="s">
        <v>81</v>
      </c>
      <c r="F8" s="150" t="s">
        <v>350</v>
      </c>
      <c r="H8" s="150" t="s">
        <v>351</v>
      </c>
      <c r="J8" s="150" t="s">
        <v>65</v>
      </c>
      <c r="L8" s="150" t="s">
        <v>66</v>
      </c>
      <c r="N8" s="966" t="s">
        <v>87</v>
      </c>
      <c r="O8" s="966"/>
      <c r="P8" s="966" t="s">
        <v>88</v>
      </c>
      <c r="Q8" s="966"/>
      <c r="R8" s="966" t="s">
        <v>65</v>
      </c>
      <c r="S8" s="966"/>
      <c r="T8" s="967" t="s">
        <v>66</v>
      </c>
      <c r="U8" s="967"/>
    </row>
    <row r="9" spans="1:21" ht="16.5" thickTop="1" thickBot="1" x14ac:dyDescent="0.3">
      <c r="A9" s="378" t="str">
        <f>Prevention!E10</f>
        <v>Water Fluoridation</v>
      </c>
      <c r="B9" s="83">
        <f>Fluoridation!L9</f>
        <v>18125</v>
      </c>
      <c r="C9" s="148">
        <f>Fluoridation!K9*Fluoridation!D12</f>
        <v>18125</v>
      </c>
      <c r="D9" s="83">
        <f>Fluoridation!M9</f>
        <v>200280</v>
      </c>
      <c r="E9" s="84">
        <f>Fluoridation!K9*Fluoridation!E12</f>
        <v>79750</v>
      </c>
      <c r="F9" s="552">
        <f>(Summary!C11*Discounting!$Q$4*L3*Effectiveness!F7)*$H$5</f>
        <v>200149.33527338202</v>
      </c>
      <c r="G9" s="87"/>
      <c r="H9" s="87">
        <f>(Summary!D11*Discounting!$Q$4)*L3*Effectiveness!F7*Discounting!$H$5</f>
        <v>378969.51641106466</v>
      </c>
      <c r="I9" s="87"/>
      <c r="J9" s="87">
        <f>(Summary!C11*Discounting!$L$4)*Effectiveness!F7*$J$5</f>
        <v>141187.98936265678</v>
      </c>
      <c r="K9" s="87"/>
      <c r="L9" s="87">
        <f>(Summary!D11*Discounting!$L$4*Effectiveness!F7)*$J$5</f>
        <v>267330.11118289916</v>
      </c>
      <c r="N9" s="240">
        <f>(Summary!C11*$Q$4)*Discounting!$L$3*Effectiveness!F7</f>
        <v>136.38802330097087</v>
      </c>
      <c r="O9" s="240"/>
      <c r="P9" s="240">
        <f>(Summary!D11*$Q$4)*Discounting!$L$3*Effectiveness!F7</f>
        <v>258.24169320388353</v>
      </c>
      <c r="Q9" s="240"/>
      <c r="R9" s="240">
        <f>Summary!C11*$L$4*Effectiveness!F7</f>
        <v>15.102112621359224</v>
      </c>
      <c r="S9" s="240"/>
      <c r="T9" s="377">
        <f>Summary!D11*$L$4*Effectiveness!F7</f>
        <v>28.594850485436897</v>
      </c>
      <c r="U9" s="377"/>
    </row>
    <row r="10" spans="1:21" ht="16.5" thickTop="1" thickBot="1" x14ac:dyDescent="0.3">
      <c r="A10" s="379" t="str">
        <f>Prevention!E11</f>
        <v>Dental Sealants</v>
      </c>
      <c r="B10" s="83">
        <f>Sealants!M14</f>
        <v>12420</v>
      </c>
      <c r="D10" s="83">
        <f>Sealants!N14</f>
        <v>226938.23999999999</v>
      </c>
      <c r="E10" s="84"/>
      <c r="F10" s="552">
        <f>(Summary!C12*Discounting!$Q$4*L3*(Effectiveness!F8*8/20))*$H$5</f>
        <v>58833.33114353782</v>
      </c>
      <c r="G10" s="87"/>
      <c r="H10" s="87">
        <f>((Summary!D12*Discounting!$Q$4)*L3*(Effectiveness!F8*8/20))*Discounting!$H$5</f>
        <v>605983.31077843951</v>
      </c>
      <c r="I10" s="87"/>
      <c r="J10" s="87">
        <f>(Summary!C12*Discounting!$L$4*(Effectiveness!F8*8/20))*$J$5</f>
        <v>41501.810237429119</v>
      </c>
      <c r="K10" s="87"/>
      <c r="L10" s="87">
        <f>(Summary!D12*Discounting!$L$4*(Effectiveness!F8*8/20))*$J$5</f>
        <v>427468.64544551994</v>
      </c>
      <c r="N10" s="240">
        <f>((Summary!C12*$Q$4)*Discounting!$L$3)*(Effectiveness!F8*8/20)</f>
        <v>40.090873786407769</v>
      </c>
      <c r="O10" s="240"/>
      <c r="P10" s="240">
        <f>((Summary!D12*Discounting!$Q$4)*(Discounting!$L$3))*(Effectiveness!F8*8/20)</f>
        <v>412.93599999999998</v>
      </c>
      <c r="Q10" s="240"/>
      <c r="R10" s="240">
        <f>(Summary!C12*$L$4)*Effectiveness!F8*8/20</f>
        <v>4.4392233009708741</v>
      </c>
      <c r="S10" s="240"/>
      <c r="T10" s="377">
        <f>(Summary!D12*$L$4)*Effectiveness!F8*8/20</f>
        <v>45.723999999999997</v>
      </c>
      <c r="U10" s="377"/>
    </row>
    <row r="11" spans="1:21" ht="16.5" thickTop="1" thickBot="1" x14ac:dyDescent="0.3">
      <c r="A11" s="379" t="str">
        <f>Prevention!E12</f>
        <v>Fluoride Varnish</v>
      </c>
      <c r="B11" s="83">
        <f>Varnish!K14</f>
        <v>62923.154999999999</v>
      </c>
      <c r="D11" s="83">
        <f>Varnish!L14</f>
        <v>146775</v>
      </c>
      <c r="E11" s="84"/>
      <c r="F11" s="141">
        <f>(Summary!C13*Discounting!$Q$4*L3*(Effectiveness!F9)*$H$5)</f>
        <v>195542.10539791625</v>
      </c>
      <c r="G11" s="87"/>
      <c r="H11" s="87">
        <f>(Summary!D13*Discounting!$Q$4)*Effectiveness!F9*L3*Discounting!$H$5</f>
        <v>384073.92936661653</v>
      </c>
      <c r="I11" s="87"/>
      <c r="J11" s="87">
        <f>(Summary!C13*Discounting!$L$4)*Effectiveness!F9*$J$5</f>
        <v>137937.98844828908</v>
      </c>
      <c r="K11" s="87"/>
      <c r="L11" s="87">
        <f>(Summary!D13*Discounting!$L$4*Effectiveness!F9)*$J$5</f>
        <v>270930.83162040001</v>
      </c>
      <c r="N11" s="240">
        <f>(Summary!C13*$Q$4)*Discounting!$L$3*Effectiveness!F9</f>
        <v>133.24851262135923</v>
      </c>
      <c r="O11" s="240"/>
      <c r="P11" s="240">
        <f>(Summary!D13*Discounting!$Q$4)*(Discounting!$L$3)*Effectiveness!F9</f>
        <v>261.71999999999997</v>
      </c>
      <c r="Q11" s="240"/>
      <c r="R11" s="240">
        <f>Summary!C13*$L$4*Effectiveness!F9</f>
        <v>14.754477669902911</v>
      </c>
      <c r="S11" s="240"/>
      <c r="T11" s="377">
        <f>Summary!D13*$L$4*Effectiveness!F9</f>
        <v>28.98</v>
      </c>
      <c r="U11" s="377"/>
    </row>
    <row r="12" spans="1:21" ht="16.5" thickTop="1" thickBot="1" x14ac:dyDescent="0.3">
      <c r="A12" s="379" t="str">
        <f>Prevention!E13</f>
        <v>Toothbrush/      Toothpaste</v>
      </c>
      <c r="B12" s="83">
        <f>Toothbrushes!L9</f>
        <v>62315.000000000007</v>
      </c>
      <c r="D12" s="83">
        <f>Toothbrushes!M9</f>
        <v>113300</v>
      </c>
      <c r="E12" s="84"/>
      <c r="F12" s="552">
        <f>(Summary!C14*Discounting!$Q$4*L3*Effectiveness!F10)*$H$5</f>
        <v>246447.43801024571</v>
      </c>
      <c r="G12" s="87"/>
      <c r="H12" s="87">
        <f>(Summary!D14*Discounting!$Q$4)*L3*Effectiveness!F10*Discounting!$H$5</f>
        <v>448086.25092771935</v>
      </c>
      <c r="I12" s="87"/>
      <c r="J12" s="87">
        <f>(Summary!C14*Discounting!$L$4)*Effectiveness!F10*$J$5</f>
        <v>173847.28362309001</v>
      </c>
      <c r="K12" s="87"/>
      <c r="L12" s="87">
        <f>(Summary!D14*Discounting!$L$4*Effectiveness!F10)*$J$5</f>
        <v>316085.97022380005</v>
      </c>
      <c r="N12" s="240">
        <f>(Summary!C14*$Q$4)*Discounting!$L$3*Effectiveness!F10</f>
        <v>167.93700000000004</v>
      </c>
      <c r="O12" s="240"/>
      <c r="P12" s="240">
        <f>(Summary!D14*Discounting!$Q$4)*(Discounting!$L$3)*Effectiveness!F10</f>
        <v>305.33999999999997</v>
      </c>
      <c r="Q12" s="240"/>
      <c r="R12" s="240">
        <f>Summary!C14*$L$4*Effectiveness!F10</f>
        <v>18.595500000000001</v>
      </c>
      <c r="S12" s="240"/>
      <c r="T12" s="377">
        <f>Summary!D14*$L$4*Effectiveness!F10</f>
        <v>33.81</v>
      </c>
      <c r="U12" s="377"/>
    </row>
    <row r="13" spans="1:21" ht="16.5" thickTop="1" thickBot="1" x14ac:dyDescent="0.3">
      <c r="A13" s="379" t="str">
        <f>Prevention!E14</f>
        <v>Initial Exam</v>
      </c>
      <c r="B13" s="83">
        <f>Initial_exam!J8</f>
        <v>10850.76</v>
      </c>
      <c r="D13" s="83">
        <f>Initial_exam!K8</f>
        <v>38178.600000000006</v>
      </c>
      <c r="E13" s="84"/>
      <c r="F13" s="552">
        <f>(Summary!C15*Discounting!$Q$4*L3*Effectiveness!F11)*$H$5</f>
        <v>29532.67495712237</v>
      </c>
      <c r="G13" s="87"/>
      <c r="H13" s="87">
        <f>(Summary!D15*Discounting!$Q$4)*L3*Effectiveness!F11*Discounting!$H$5</f>
        <v>365512.42771006381</v>
      </c>
      <c r="I13" s="87"/>
      <c r="J13" s="87">
        <f>(Summary!C15*Discounting!$L$4)*Effectiveness!F11*$J$5</f>
        <v>20832.739674112312</v>
      </c>
      <c r="K13" s="87"/>
      <c r="L13" s="87">
        <f>(Summary!D15*Discounting!$L$4*Effectiveness!F11)*$J$5</f>
        <v>257837.30275676041</v>
      </c>
      <c r="N13" s="240">
        <f>(Summary!C15*$Q$4)*Discounting!$L$3*Effectiveness!F11</f>
        <v>20.124489320388353</v>
      </c>
      <c r="O13" s="240"/>
      <c r="P13" s="240">
        <f>(Summary!D15*Discounting!$Q$4)*(Discounting!$L$3)*Effectiveness!F11</f>
        <v>249.07161165048544</v>
      </c>
      <c r="Q13" s="240"/>
      <c r="R13" s="240">
        <f>Summary!C15*$L$4*Effectiveness!F11</f>
        <v>2.2283650485436897</v>
      </c>
      <c r="S13" s="240"/>
      <c r="T13" s="377">
        <f>Summary!D15*$L$4*Effectiveness!F11</f>
        <v>27.579456310679614</v>
      </c>
      <c r="U13" s="377"/>
    </row>
    <row r="14" spans="1:21" ht="15.75" thickTop="1" x14ac:dyDescent="0.25">
      <c r="B14" s="83"/>
      <c r="C14" s="83"/>
      <c r="D14" s="84"/>
      <c r="E14" s="84"/>
      <c r="F14" s="84"/>
      <c r="G14" s="84"/>
      <c r="H14" s="87"/>
      <c r="I14" s="87"/>
      <c r="J14" s="84"/>
      <c r="K14" s="84"/>
    </row>
    <row r="15" spans="1:21" x14ac:dyDescent="0.25">
      <c r="B15" s="83"/>
      <c r="C15" s="83"/>
      <c r="D15" s="84"/>
      <c r="E15" s="84"/>
      <c r="F15" s="84"/>
      <c r="G15" s="84"/>
      <c r="H15" s="87"/>
      <c r="I15" s="87"/>
      <c r="J15" s="84"/>
      <c r="K15" s="84"/>
    </row>
    <row r="16" spans="1:21" s="67" customFormat="1" ht="18.75" x14ac:dyDescent="0.3">
      <c r="A16" s="67" t="str">
        <f>Summary!B11</f>
        <v>Water Fluoridation</v>
      </c>
      <c r="B16" s="942" t="s">
        <v>150</v>
      </c>
      <c r="C16" s="942"/>
      <c r="D16" s="942"/>
      <c r="E16" s="942"/>
      <c r="F16" s="962" t="s">
        <v>152</v>
      </c>
      <c r="G16" s="962"/>
      <c r="H16" s="962"/>
      <c r="I16" s="962"/>
      <c r="J16" s="962"/>
      <c r="K16" s="962"/>
      <c r="L16" s="962"/>
      <c r="M16" s="962"/>
      <c r="N16" s="961" t="s">
        <v>151</v>
      </c>
      <c r="O16" s="961"/>
      <c r="P16" s="961"/>
      <c r="Q16" s="961"/>
      <c r="R16" s="961"/>
      <c r="S16" s="961"/>
      <c r="T16" s="961"/>
      <c r="U16" s="961"/>
    </row>
    <row r="17" spans="1:21" x14ac:dyDescent="0.25">
      <c r="A17" s="135" t="s">
        <v>58</v>
      </c>
      <c r="B17" t="s">
        <v>57</v>
      </c>
      <c r="C17" t="s">
        <v>61</v>
      </c>
      <c r="D17" t="s">
        <v>59</v>
      </c>
      <c r="E17" t="s">
        <v>61</v>
      </c>
      <c r="F17" t="s">
        <v>63</v>
      </c>
      <c r="G17" t="s">
        <v>61</v>
      </c>
      <c r="H17" t="s">
        <v>64</v>
      </c>
      <c r="I17" t="s">
        <v>61</v>
      </c>
      <c r="J17" t="s">
        <v>65</v>
      </c>
      <c r="K17" t="s">
        <v>61</v>
      </c>
      <c r="L17" t="s">
        <v>66</v>
      </c>
      <c r="M17" t="s">
        <v>67</v>
      </c>
      <c r="N17" t="s">
        <v>90</v>
      </c>
      <c r="O17" t="s">
        <v>89</v>
      </c>
      <c r="P17" t="s">
        <v>91</v>
      </c>
      <c r="Q17" t="s">
        <v>89</v>
      </c>
      <c r="R17" t="s">
        <v>92</v>
      </c>
      <c r="S17" t="s">
        <v>89</v>
      </c>
      <c r="T17" t="s">
        <v>66</v>
      </c>
      <c r="U17" t="s">
        <v>89</v>
      </c>
    </row>
    <row r="18" spans="1:21" x14ac:dyDescent="0.25">
      <c r="A18">
        <v>1</v>
      </c>
      <c r="B18" s="137">
        <f>B9/(1+E3)^A18</f>
        <v>17597.087378640776</v>
      </c>
      <c r="C18" s="85">
        <f>B18</f>
        <v>17597.087378640776</v>
      </c>
      <c r="D18" s="137">
        <f>D9/(1+E3)^A18</f>
        <v>194446.60194174756</v>
      </c>
      <c r="E18" s="85">
        <f>D18</f>
        <v>194446.60194174756</v>
      </c>
      <c r="F18" s="87">
        <f t="shared" ref="F18:F27" si="0">$F$9/(1+$E$3)^A18</f>
        <v>194319.74298386605</v>
      </c>
      <c r="G18" s="87">
        <f>F18</f>
        <v>194319.74298386605</v>
      </c>
      <c r="H18" s="87">
        <f t="shared" ref="H18:H27" si="1">$H$9/(1+$E$3)^A18</f>
        <v>367931.56933113071</v>
      </c>
      <c r="I18" s="87">
        <f>H18</f>
        <v>367931.56933113071</v>
      </c>
      <c r="J18" s="87">
        <f t="shared" ref="J18:J27" si="2">$J$9/(1+$E$3)^A18</f>
        <v>137075.71782782211</v>
      </c>
      <c r="K18" s="87">
        <f>J18</f>
        <v>137075.71782782211</v>
      </c>
      <c r="L18" s="87">
        <f t="shared" ref="L18:L27" si="3">$L$9/(1+$E$3)^A18</f>
        <v>259543.79726495064</v>
      </c>
      <c r="M18" s="87">
        <f>L18</f>
        <v>259543.79726495064</v>
      </c>
      <c r="N18" s="82">
        <f>$N$9/(1+$E$3)^A18</f>
        <v>132.41555660288435</v>
      </c>
      <c r="O18" s="82">
        <f>N18</f>
        <v>132.41555660288435</v>
      </c>
      <c r="P18" s="82">
        <f t="shared" ref="P18:P27" si="4">$P$9/(1+$E$3)^A18</f>
        <v>250.72009048920731</v>
      </c>
      <c r="Q18" s="139">
        <f>P18</f>
        <v>250.72009048920731</v>
      </c>
      <c r="R18" s="82">
        <f t="shared" ref="R18:R27" si="5">$R$9/(1+$E$3)^A18</f>
        <v>14.662245263455556</v>
      </c>
      <c r="S18" s="82">
        <f>R18</f>
        <v>14.662245263455556</v>
      </c>
      <c r="T18" s="82">
        <f t="shared" ref="T18:T27" si="6">$T$9/(1+$E$3)^A18</f>
        <v>27.761990762560092</v>
      </c>
      <c r="U18" s="156">
        <f>T18</f>
        <v>27.761990762560092</v>
      </c>
    </row>
    <row r="19" spans="1:21" x14ac:dyDescent="0.25">
      <c r="A19">
        <v>2</v>
      </c>
      <c r="B19" s="87">
        <f>$C$9/(1+$E$3)^$A$19</f>
        <v>17084.550853049299</v>
      </c>
      <c r="C19" s="87">
        <f>C18+B19</f>
        <v>34681.638231690071</v>
      </c>
      <c r="D19" s="87">
        <f t="shared" ref="D19:D27" si="7">$E$9/(1+$E$3)^A19</f>
        <v>75172.023753416914</v>
      </c>
      <c r="E19" s="87">
        <f>E18+D19</f>
        <v>269618.62569516449</v>
      </c>
      <c r="F19" s="87">
        <f t="shared" si="0"/>
        <v>188659.94464453016</v>
      </c>
      <c r="G19" s="87">
        <f>G18+F19</f>
        <v>382979.6876283962</v>
      </c>
      <c r="H19" s="87">
        <f t="shared" si="1"/>
        <v>357215.11585546675</v>
      </c>
      <c r="I19" s="87">
        <f>I18+H19</f>
        <v>725146.68518659752</v>
      </c>
      <c r="J19" s="87">
        <f t="shared" si="2"/>
        <v>133083.2211920603</v>
      </c>
      <c r="K19" s="87">
        <f>K18+J19</f>
        <v>270158.93901988241</v>
      </c>
      <c r="L19" s="87">
        <f t="shared" si="3"/>
        <v>251984.26918927248</v>
      </c>
      <c r="M19" s="87">
        <f>M18+L19</f>
        <v>511528.06645422312</v>
      </c>
      <c r="N19" s="82">
        <f>$N$9/((1+$E$3)^A19)</f>
        <v>128.55879281833433</v>
      </c>
      <c r="O19" s="82">
        <f>O18+N19</f>
        <v>260.97434942121868</v>
      </c>
      <c r="P19" s="82">
        <f t="shared" si="4"/>
        <v>243.41756358175468</v>
      </c>
      <c r="Q19" s="139">
        <f>Q18+P19</f>
        <v>494.13765407096196</v>
      </c>
      <c r="R19" s="82">
        <f t="shared" si="5"/>
        <v>14.235189576170445</v>
      </c>
      <c r="S19" s="82">
        <f>S18+R19</f>
        <v>28.897434839626001</v>
      </c>
      <c r="T19" s="82">
        <f t="shared" si="6"/>
        <v>26.953389089864171</v>
      </c>
      <c r="U19" s="156">
        <f>U18+T19</f>
        <v>54.715379852424263</v>
      </c>
    </row>
    <row r="20" spans="1:21" x14ac:dyDescent="0.25">
      <c r="A20">
        <v>3</v>
      </c>
      <c r="B20" s="87">
        <f>$C$9/(1+$E$3)^$A$20</f>
        <v>16586.942575776018</v>
      </c>
      <c r="C20" s="87">
        <f>C19+B20</f>
        <v>51268.580807466089</v>
      </c>
      <c r="D20" s="87">
        <f t="shared" si="7"/>
        <v>72982.547333414477</v>
      </c>
      <c r="E20" s="87">
        <f>E19+D20</f>
        <v>342601.17302857898</v>
      </c>
      <c r="F20" s="87">
        <f t="shared" si="0"/>
        <v>183164.99480051469</v>
      </c>
      <c r="G20" s="87">
        <f t="shared" ref="G20:G27" si="8">G19+F20</f>
        <v>566144.68242891086</v>
      </c>
      <c r="H20" s="87">
        <f t="shared" si="1"/>
        <v>346810.79209268617</v>
      </c>
      <c r="I20" s="87">
        <f t="shared" ref="I20:I27" si="9">I19+H20</f>
        <v>1071957.4772792836</v>
      </c>
      <c r="J20" s="87">
        <f t="shared" si="2"/>
        <v>129207.01086607797</v>
      </c>
      <c r="K20" s="87">
        <f t="shared" ref="K20:K27" si="10">K19+J20</f>
        <v>399365.94988596038</v>
      </c>
      <c r="L20" s="87">
        <f t="shared" si="3"/>
        <v>244644.92154298298</v>
      </c>
      <c r="M20" s="87">
        <f t="shared" ref="M20:M27" si="11">M19+L20</f>
        <v>756172.98799720616</v>
      </c>
      <c r="N20" s="82">
        <f t="shared" ref="N20:N27" si="12">$N$9/(1+$E$3)^A20</f>
        <v>124.81436195954788</v>
      </c>
      <c r="O20" s="82">
        <f t="shared" ref="O20:O27" si="13">O19+N20</f>
        <v>385.78871138076659</v>
      </c>
      <c r="P20" s="82">
        <f t="shared" si="4"/>
        <v>236.32773163277153</v>
      </c>
      <c r="Q20" s="139">
        <f t="shared" ref="Q20:Q27" si="14">Q19+P20</f>
        <v>730.46538570373355</v>
      </c>
      <c r="R20" s="82">
        <f t="shared" si="5"/>
        <v>13.820572404048974</v>
      </c>
      <c r="S20" s="139">
        <f t="shared" ref="S20:S27" si="15">S19+R20</f>
        <v>42.718007243674975</v>
      </c>
      <c r="T20" s="82">
        <f t="shared" si="6"/>
        <v>26.168338922198224</v>
      </c>
      <c r="U20" s="157">
        <f t="shared" ref="U20:U27" si="16">U19+T20</f>
        <v>80.88371877462248</v>
      </c>
    </row>
    <row r="21" spans="1:21" x14ac:dyDescent="0.25">
      <c r="A21">
        <v>4</v>
      </c>
      <c r="B21" s="87">
        <f>$C$9/(1+$E$3)^$A$21</f>
        <v>16103.827743471862</v>
      </c>
      <c r="C21" s="87">
        <f t="shared" ref="C21:C27" si="17">C20+B21</f>
        <v>67372.408550937951</v>
      </c>
      <c r="D21" s="87">
        <f t="shared" si="7"/>
        <v>70856.842071276202</v>
      </c>
      <c r="E21" s="87">
        <f t="shared" ref="E21:E27" si="18">E20+D21</f>
        <v>413458.0150998552</v>
      </c>
      <c r="F21" s="87">
        <f t="shared" si="0"/>
        <v>177830.09203933468</v>
      </c>
      <c r="G21" s="87">
        <f t="shared" si="8"/>
        <v>743974.77446824557</v>
      </c>
      <c r="H21" s="87">
        <f t="shared" si="1"/>
        <v>336709.50688610307</v>
      </c>
      <c r="I21" s="87">
        <f t="shared" si="9"/>
        <v>1408666.9841653868</v>
      </c>
      <c r="J21" s="87">
        <f t="shared" si="2"/>
        <v>125443.69986997862</v>
      </c>
      <c r="K21" s="87">
        <f t="shared" si="10"/>
        <v>524809.64975593903</v>
      </c>
      <c r="L21" s="87">
        <f t="shared" si="3"/>
        <v>237519.341303867</v>
      </c>
      <c r="M21" s="87">
        <f t="shared" si="11"/>
        <v>993692.32930107322</v>
      </c>
      <c r="N21" s="82">
        <f t="shared" si="12"/>
        <v>121.17899219373581</v>
      </c>
      <c r="O21" s="82">
        <f t="shared" si="13"/>
        <v>506.96770357450237</v>
      </c>
      <c r="P21" s="82">
        <f t="shared" si="4"/>
        <v>229.44439964346751</v>
      </c>
      <c r="Q21" s="139">
        <f t="shared" si="14"/>
        <v>959.90978534720102</v>
      </c>
      <c r="R21" s="82">
        <f t="shared" si="5"/>
        <v>13.418031460241723</v>
      </c>
      <c r="S21" s="139">
        <f t="shared" si="15"/>
        <v>56.136038703916697</v>
      </c>
      <c r="T21" s="82">
        <f t="shared" si="6"/>
        <v>25.406154293396334</v>
      </c>
      <c r="U21" s="157">
        <f t="shared" si="16"/>
        <v>106.28987306801881</v>
      </c>
    </row>
    <row r="22" spans="1:21" x14ac:dyDescent="0.25">
      <c r="A22">
        <v>5</v>
      </c>
      <c r="B22" s="87">
        <f>$C$9/(1+$E$3)^$A$22</f>
        <v>15634.784216962975</v>
      </c>
      <c r="C22" s="87">
        <f t="shared" si="17"/>
        <v>83007.192767900924</v>
      </c>
      <c r="D22" s="87">
        <f t="shared" si="7"/>
        <v>68793.050554637084</v>
      </c>
      <c r="E22" s="87">
        <f t="shared" si="18"/>
        <v>482251.0656544923</v>
      </c>
      <c r="F22" s="87">
        <f t="shared" si="0"/>
        <v>172650.57479547057</v>
      </c>
      <c r="G22" s="87">
        <f t="shared" si="8"/>
        <v>916625.34926371614</v>
      </c>
      <c r="H22" s="87">
        <f t="shared" si="1"/>
        <v>326902.43387000303</v>
      </c>
      <c r="I22" s="87">
        <f t="shared" si="9"/>
        <v>1735569.4180353899</v>
      </c>
      <c r="J22" s="87">
        <f t="shared" si="2"/>
        <v>121789.99987376566</v>
      </c>
      <c r="K22" s="87">
        <f t="shared" si="10"/>
        <v>646599.64962970465</v>
      </c>
      <c r="L22" s="87">
        <f t="shared" si="3"/>
        <v>230601.30223676408</v>
      </c>
      <c r="M22" s="87">
        <f t="shared" si="11"/>
        <v>1224293.6315378372</v>
      </c>
      <c r="N22" s="82">
        <f t="shared" si="12"/>
        <v>117.64950698420954</v>
      </c>
      <c r="O22" s="82">
        <f t="shared" si="13"/>
        <v>624.61721055871192</v>
      </c>
      <c r="P22" s="82">
        <f t="shared" si="4"/>
        <v>222.76155305191023</v>
      </c>
      <c r="Q22" s="139">
        <f t="shared" si="14"/>
        <v>1182.6713383991112</v>
      </c>
      <c r="R22" s="82">
        <f t="shared" si="5"/>
        <v>13.027215009943422</v>
      </c>
      <c r="S22" s="139">
        <f t="shared" si="15"/>
        <v>69.163253713860115</v>
      </c>
      <c r="T22" s="82">
        <f t="shared" si="6"/>
        <v>24.666169216889646</v>
      </c>
      <c r="U22" s="157">
        <f t="shared" si="16"/>
        <v>130.95604228490845</v>
      </c>
    </row>
    <row r="23" spans="1:21" x14ac:dyDescent="0.25">
      <c r="A23">
        <v>6</v>
      </c>
      <c r="B23" s="87">
        <f>$C$9/(1+$E$3)^$A$23</f>
        <v>15179.402152391236</v>
      </c>
      <c r="C23" s="87">
        <f t="shared" si="17"/>
        <v>98186.594920292162</v>
      </c>
      <c r="D23" s="87">
        <f t="shared" si="7"/>
        <v>66789.369470521444</v>
      </c>
      <c r="E23" s="87">
        <f t="shared" si="18"/>
        <v>549040.4351250137</v>
      </c>
      <c r="F23" s="87">
        <f t="shared" si="0"/>
        <v>167621.91727715588</v>
      </c>
      <c r="G23" s="87">
        <f t="shared" si="8"/>
        <v>1084247.2665408719</v>
      </c>
      <c r="H23" s="87">
        <f t="shared" si="1"/>
        <v>317381.00375728443</v>
      </c>
      <c r="I23" s="87">
        <f t="shared" si="9"/>
        <v>2052950.4217926743</v>
      </c>
      <c r="J23" s="87">
        <f t="shared" si="2"/>
        <v>118242.71832404433</v>
      </c>
      <c r="K23" s="87">
        <f t="shared" si="10"/>
        <v>764842.36795374902</v>
      </c>
      <c r="L23" s="87">
        <f t="shared" si="3"/>
        <v>223884.75945316898</v>
      </c>
      <c r="M23" s="87">
        <f t="shared" si="11"/>
        <v>1448178.3909910063</v>
      </c>
      <c r="N23" s="82">
        <f t="shared" si="12"/>
        <v>114.22282231476653</v>
      </c>
      <c r="O23" s="82">
        <f t="shared" si="13"/>
        <v>738.84003287347844</v>
      </c>
      <c r="P23" s="82">
        <f t="shared" si="4"/>
        <v>216.27335247758273</v>
      </c>
      <c r="Q23" s="139">
        <f t="shared" si="14"/>
        <v>1398.9446908766938</v>
      </c>
      <c r="R23" s="82">
        <f t="shared" si="5"/>
        <v>12.647781563051865</v>
      </c>
      <c r="S23" s="139">
        <f t="shared" si="15"/>
        <v>81.81103527691198</v>
      </c>
      <c r="T23" s="82">
        <f t="shared" si="6"/>
        <v>23.947737103776355</v>
      </c>
      <c r="U23" s="157">
        <f t="shared" si="16"/>
        <v>154.9037793886848</v>
      </c>
    </row>
    <row r="24" spans="1:21" x14ac:dyDescent="0.25">
      <c r="A24">
        <v>7</v>
      </c>
      <c r="B24" s="87">
        <f>$C$9/(1+$E$3)^$A$24</f>
        <v>14737.283643098286</v>
      </c>
      <c r="C24" s="87">
        <f t="shared" si="17"/>
        <v>112923.87856339045</v>
      </c>
      <c r="D24" s="87">
        <f t="shared" si="7"/>
        <v>64844.04802963246</v>
      </c>
      <c r="E24" s="87">
        <f t="shared" si="18"/>
        <v>613884.48315464612</v>
      </c>
      <c r="F24" s="87">
        <f t="shared" si="0"/>
        <v>162739.72551180181</v>
      </c>
      <c r="G24" s="87">
        <f t="shared" si="8"/>
        <v>1246986.9920526738</v>
      </c>
      <c r="H24" s="87">
        <f t="shared" si="1"/>
        <v>308136.89685173245</v>
      </c>
      <c r="I24" s="87">
        <f t="shared" si="9"/>
        <v>2361087.3186444067</v>
      </c>
      <c r="J24" s="87">
        <f t="shared" si="2"/>
        <v>114798.75565441196</v>
      </c>
      <c r="K24" s="87">
        <f t="shared" si="10"/>
        <v>879641.123608161</v>
      </c>
      <c r="L24" s="87">
        <f t="shared" si="3"/>
        <v>217363.84412929026</v>
      </c>
      <c r="M24" s="87">
        <f t="shared" si="11"/>
        <v>1665542.2351202965</v>
      </c>
      <c r="N24" s="82">
        <f t="shared" si="12"/>
        <v>110.89594399491895</v>
      </c>
      <c r="O24" s="82">
        <f t="shared" si="13"/>
        <v>849.73597686839742</v>
      </c>
      <c r="P24" s="82">
        <f t="shared" si="4"/>
        <v>209.97412861901233</v>
      </c>
      <c r="Q24" s="139">
        <f t="shared" si="14"/>
        <v>1608.9188194957062</v>
      </c>
      <c r="R24" s="82">
        <f t="shared" si="5"/>
        <v>12.279399575778509</v>
      </c>
      <c r="S24" s="139">
        <f t="shared" si="15"/>
        <v>94.090434852690493</v>
      </c>
      <c r="T24" s="82">
        <f t="shared" si="6"/>
        <v>23.25023019784112</v>
      </c>
      <c r="U24" s="157">
        <f t="shared" si="16"/>
        <v>178.15400958652592</v>
      </c>
    </row>
    <row r="25" spans="1:21" x14ac:dyDescent="0.25">
      <c r="A25">
        <v>8</v>
      </c>
      <c r="B25" s="87">
        <f>$C$9/(1+$E$3)^$A$25</f>
        <v>14308.042371940086</v>
      </c>
      <c r="C25" s="87">
        <f t="shared" si="17"/>
        <v>127231.92093533053</v>
      </c>
      <c r="D25" s="87">
        <f t="shared" si="7"/>
        <v>62955.386436536377</v>
      </c>
      <c r="E25" s="87">
        <f t="shared" si="18"/>
        <v>676839.86959118245</v>
      </c>
      <c r="F25" s="87">
        <f t="shared" si="0"/>
        <v>157999.73350660372</v>
      </c>
      <c r="G25" s="87">
        <f t="shared" si="8"/>
        <v>1404986.7255592775</v>
      </c>
      <c r="H25" s="87">
        <f t="shared" si="1"/>
        <v>299162.03577838105</v>
      </c>
      <c r="I25" s="87">
        <f t="shared" si="9"/>
        <v>2660249.3544227877</v>
      </c>
      <c r="J25" s="87">
        <f t="shared" si="2"/>
        <v>111455.10257709899</v>
      </c>
      <c r="K25" s="87">
        <f t="shared" si="10"/>
        <v>991096.22618525999</v>
      </c>
      <c r="L25" s="87">
        <f t="shared" si="3"/>
        <v>211032.85837795175</v>
      </c>
      <c r="M25" s="87">
        <f t="shared" si="11"/>
        <v>1876575.0934982481</v>
      </c>
      <c r="N25" s="82">
        <f t="shared" si="12"/>
        <v>107.66596504361065</v>
      </c>
      <c r="O25" s="82">
        <f t="shared" si="13"/>
        <v>957.40194191200806</v>
      </c>
      <c r="P25" s="82">
        <f t="shared" si="4"/>
        <v>203.85837730001199</v>
      </c>
      <c r="Q25" s="139">
        <f t="shared" si="14"/>
        <v>1812.7771967957183</v>
      </c>
      <c r="R25" s="82">
        <f t="shared" si="5"/>
        <v>11.921747160950011</v>
      </c>
      <c r="S25" s="139">
        <f t="shared" si="15"/>
        <v>106.0121820136405</v>
      </c>
      <c r="T25" s="82">
        <f t="shared" si="6"/>
        <v>22.573039027030216</v>
      </c>
      <c r="U25" s="157">
        <f t="shared" si="16"/>
        <v>200.72704861355612</v>
      </c>
    </row>
    <row r="26" spans="1:21" x14ac:dyDescent="0.25">
      <c r="A26">
        <v>9</v>
      </c>
      <c r="B26" s="87">
        <f>$C$9/(1+$E$3)^$A$26</f>
        <v>13891.303273728239</v>
      </c>
      <c r="C26" s="87">
        <f t="shared" si="17"/>
        <v>141123.22420905877</v>
      </c>
      <c r="D26" s="87">
        <f t="shared" si="7"/>
        <v>61121.734404404247</v>
      </c>
      <c r="E26" s="87">
        <f t="shared" si="18"/>
        <v>737961.60399558675</v>
      </c>
      <c r="F26" s="87">
        <f t="shared" si="0"/>
        <v>153397.79952097448</v>
      </c>
      <c r="G26" s="87">
        <f t="shared" si="8"/>
        <v>1558384.525080252</v>
      </c>
      <c r="H26" s="87">
        <f t="shared" si="1"/>
        <v>290448.57842561271</v>
      </c>
      <c r="I26" s="87">
        <f t="shared" si="9"/>
        <v>2950697.9328484004</v>
      </c>
      <c r="J26" s="87">
        <f t="shared" si="2"/>
        <v>108208.83745349417</v>
      </c>
      <c r="K26" s="87">
        <f t="shared" si="10"/>
        <v>1099305.0636387542</v>
      </c>
      <c r="L26" s="87">
        <f t="shared" si="3"/>
        <v>204886.27026985606</v>
      </c>
      <c r="M26" s="87">
        <f t="shared" si="11"/>
        <v>2081461.3637681042</v>
      </c>
      <c r="N26" s="82">
        <f t="shared" si="12"/>
        <v>104.53006314913655</v>
      </c>
      <c r="O26" s="82">
        <f t="shared" si="13"/>
        <v>1061.9320050611445</v>
      </c>
      <c r="P26" s="82">
        <f t="shared" si="4"/>
        <v>197.92075466020583</v>
      </c>
      <c r="Q26" s="139">
        <f t="shared" si="14"/>
        <v>2010.6979514559241</v>
      </c>
      <c r="R26" s="82">
        <f t="shared" si="5"/>
        <v>11.574511806747582</v>
      </c>
      <c r="S26" s="139">
        <f t="shared" si="15"/>
        <v>117.58669382038808</v>
      </c>
      <c r="T26" s="82">
        <f t="shared" si="6"/>
        <v>21.915571870903122</v>
      </c>
      <c r="U26" s="157">
        <f t="shared" si="16"/>
        <v>222.64262048445926</v>
      </c>
    </row>
    <row r="27" spans="1:21" x14ac:dyDescent="0.25">
      <c r="A27">
        <v>10</v>
      </c>
      <c r="B27" s="87">
        <f>$C$9/(1+$E$3)^$A$27</f>
        <v>13486.702207503144</v>
      </c>
      <c r="C27" s="87">
        <f t="shared" si="17"/>
        <v>154609.92641656191</v>
      </c>
      <c r="D27" s="87">
        <f t="shared" si="7"/>
        <v>59341.489713013834</v>
      </c>
      <c r="E27" s="87">
        <f t="shared" si="18"/>
        <v>797303.09370860062</v>
      </c>
      <c r="F27" s="87">
        <f t="shared" si="0"/>
        <v>148929.90244754803</v>
      </c>
      <c r="G27" s="87">
        <f t="shared" si="8"/>
        <v>1707314.4275278</v>
      </c>
      <c r="H27" s="87">
        <f t="shared" si="1"/>
        <v>281988.91109282785</v>
      </c>
      <c r="I27" s="87">
        <f t="shared" si="9"/>
        <v>3232686.8439412285</v>
      </c>
      <c r="J27" s="87">
        <f t="shared" si="2"/>
        <v>105057.12374125648</v>
      </c>
      <c r="K27" s="87">
        <f t="shared" si="10"/>
        <v>1204362.1873800107</v>
      </c>
      <c r="L27" s="87">
        <f t="shared" si="3"/>
        <v>198918.70899986025</v>
      </c>
      <c r="M27" s="87">
        <f t="shared" si="11"/>
        <v>2280380.0727679646</v>
      </c>
      <c r="N27" s="82">
        <f t="shared" si="12"/>
        <v>101.4854982030452</v>
      </c>
      <c r="O27" s="82">
        <f t="shared" si="13"/>
        <v>1163.4175032641897</v>
      </c>
      <c r="P27" s="82">
        <f t="shared" si="4"/>
        <v>192.15607248563671</v>
      </c>
      <c r="Q27" s="139">
        <f t="shared" si="14"/>
        <v>2202.8540239415606</v>
      </c>
      <c r="R27" s="82">
        <f t="shared" si="5"/>
        <v>11.237390103638429</v>
      </c>
      <c r="S27" s="139">
        <f t="shared" si="15"/>
        <v>128.8240839240265</v>
      </c>
      <c r="T27" s="82">
        <f t="shared" si="6"/>
        <v>21.277254243595262</v>
      </c>
      <c r="U27" s="157">
        <f t="shared" si="16"/>
        <v>243.91987472805451</v>
      </c>
    </row>
    <row r="28" spans="1:21" x14ac:dyDescent="0.25">
      <c r="O28" s="82">
        <f>O27*H5</f>
        <v>1707314.4275278</v>
      </c>
      <c r="Q28" s="138">
        <f>C27-O28/O27</f>
        <v>153142.42706853113</v>
      </c>
    </row>
    <row r="29" spans="1:21" s="67" customFormat="1" ht="18.75" x14ac:dyDescent="0.3">
      <c r="A29" s="67" t="str">
        <f>Summary!B12</f>
        <v>Dental Sealants</v>
      </c>
      <c r="B29" s="942" t="s">
        <v>150</v>
      </c>
      <c r="C29" s="942"/>
      <c r="D29" s="942"/>
      <c r="E29" s="942"/>
      <c r="F29" s="962" t="s">
        <v>152</v>
      </c>
      <c r="G29" s="962"/>
      <c r="H29" s="962"/>
      <c r="I29" s="962"/>
      <c r="J29" s="962"/>
      <c r="K29" s="962"/>
      <c r="L29" s="962"/>
      <c r="M29" s="962"/>
      <c r="N29" s="961" t="s">
        <v>151</v>
      </c>
      <c r="O29" s="961"/>
      <c r="P29" s="961"/>
      <c r="Q29" s="961"/>
      <c r="R29" s="961"/>
      <c r="S29" s="961"/>
      <c r="T29" s="961"/>
      <c r="U29" s="961"/>
    </row>
    <row r="30" spans="1:21" x14ac:dyDescent="0.25">
      <c r="A30" s="135" t="s">
        <v>58</v>
      </c>
      <c r="B30" t="s">
        <v>57</v>
      </c>
      <c r="C30" t="s">
        <v>61</v>
      </c>
      <c r="D30" t="s">
        <v>59</v>
      </c>
      <c r="E30" t="s">
        <v>61</v>
      </c>
      <c r="F30" t="s">
        <v>63</v>
      </c>
      <c r="G30" t="s">
        <v>61</v>
      </c>
      <c r="H30" t="s">
        <v>64</v>
      </c>
      <c r="I30" t="s">
        <v>61</v>
      </c>
      <c r="J30" t="s">
        <v>65</v>
      </c>
      <c r="K30" t="s">
        <v>61</v>
      </c>
      <c r="L30" t="s">
        <v>66</v>
      </c>
      <c r="M30" t="s">
        <v>67</v>
      </c>
      <c r="N30" t="s">
        <v>90</v>
      </c>
      <c r="O30" t="s">
        <v>89</v>
      </c>
      <c r="P30" t="s">
        <v>91</v>
      </c>
      <c r="Q30" t="s">
        <v>89</v>
      </c>
      <c r="R30" t="s">
        <v>92</v>
      </c>
      <c r="S30" t="s">
        <v>89</v>
      </c>
      <c r="T30" t="s">
        <v>66</v>
      </c>
      <c r="U30" t="s">
        <v>89</v>
      </c>
    </row>
    <row r="31" spans="1:21" x14ac:dyDescent="0.25">
      <c r="A31">
        <v>1</v>
      </c>
      <c r="B31" s="137">
        <f>B10/(1+$E$3)^$A$31</f>
        <v>12058.252427184465</v>
      </c>
      <c r="C31" s="85">
        <f>B31</f>
        <v>12058.252427184465</v>
      </c>
      <c r="D31" s="137">
        <f>D10/(1+$E$3)^$A$31</f>
        <v>220328.38834951454</v>
      </c>
      <c r="E31" s="85">
        <f>D31</f>
        <v>220328.38834951454</v>
      </c>
      <c r="F31" s="87">
        <f t="shared" ref="F31:F40" si="19">$F$10/(1+$E$3)^A31</f>
        <v>57119.738974308559</v>
      </c>
      <c r="G31" s="87">
        <f>F31</f>
        <v>57119.738974308559</v>
      </c>
      <c r="H31" s="87">
        <f t="shared" ref="H31:H40" si="20">$H$10/(1+$E$3)^A31</f>
        <v>588333.31143537816</v>
      </c>
      <c r="I31" s="87">
        <f>H31</f>
        <v>588333.31143537816</v>
      </c>
      <c r="J31" s="87">
        <f t="shared" ref="J31:J40" si="21">$J$10/(1+$E$3)^A31</f>
        <v>40293.019647989437</v>
      </c>
      <c r="K31" s="87">
        <f>J31</f>
        <v>40293.019647989437</v>
      </c>
      <c r="L31" s="87">
        <f t="shared" ref="L31:L40" si="22">$L$10/(1+$E$3)^A31</f>
        <v>415018.10237429122</v>
      </c>
      <c r="M31" s="87">
        <f>L31</f>
        <v>415018.10237429122</v>
      </c>
      <c r="N31" s="82">
        <f t="shared" ref="N31:N40" si="23">$N$10/(1+$E$3)^A31</f>
        <v>38.923178433405603</v>
      </c>
      <c r="O31" s="82">
        <f>N31</f>
        <v>38.923178433405603</v>
      </c>
      <c r="P31" s="82">
        <f t="shared" ref="P31:P40" si="24">$P$10/(1+$E$3)^A31</f>
        <v>400.90873786407764</v>
      </c>
      <c r="Q31" s="139">
        <f>P31</f>
        <v>400.90873786407764</v>
      </c>
      <c r="R31" s="82">
        <f t="shared" ref="R31:R40" si="25">$R$10/(1+$E$3)^A31</f>
        <v>4.3099255349231784</v>
      </c>
      <c r="S31" s="82">
        <f>R31</f>
        <v>4.3099255349231784</v>
      </c>
      <c r="T31" s="82">
        <f t="shared" ref="T31:T40" si="26">$T$10/(1+$E$3)^A31</f>
        <v>44.392233009708733</v>
      </c>
      <c r="U31" s="156">
        <f>T31</f>
        <v>44.392233009708733</v>
      </c>
    </row>
    <row r="32" spans="1:21" x14ac:dyDescent="0.25">
      <c r="A32">
        <v>2</v>
      </c>
      <c r="B32" s="87">
        <f t="shared" ref="B32:B40" si="27">$B$10/(1+$E$3)^A32</f>
        <v>11707.041191441229</v>
      </c>
      <c r="C32" s="87">
        <f>C31+B32</f>
        <v>23765.293618625692</v>
      </c>
      <c r="D32" s="87">
        <f t="shared" ref="D32:D40" si="28">$D$10/(1+$E$3)^A32</f>
        <v>213911.05665001413</v>
      </c>
      <c r="E32" s="87">
        <f>E31+D32</f>
        <v>434239.4449995287</v>
      </c>
      <c r="F32" s="87">
        <f t="shared" si="19"/>
        <v>55456.057256610256</v>
      </c>
      <c r="G32" s="87">
        <f>G31+F32</f>
        <v>112575.79623091882</v>
      </c>
      <c r="H32" s="87">
        <f t="shared" si="20"/>
        <v>571197.3897430856</v>
      </c>
      <c r="I32" s="87">
        <f>I31+H32</f>
        <v>1159530.7011784636</v>
      </c>
      <c r="J32" s="87">
        <f t="shared" si="21"/>
        <v>39119.436551446059</v>
      </c>
      <c r="K32" s="87">
        <f>K31+J32</f>
        <v>79412.456199435488</v>
      </c>
      <c r="L32" s="87">
        <f t="shared" si="22"/>
        <v>402930.1964798944</v>
      </c>
      <c r="M32" s="87">
        <f>M31+L32</f>
        <v>817948.29885418562</v>
      </c>
      <c r="N32" s="82">
        <f t="shared" si="23"/>
        <v>37.789493624665631</v>
      </c>
      <c r="O32" s="82">
        <f>O31+N32</f>
        <v>76.712672058071234</v>
      </c>
      <c r="P32" s="82">
        <f t="shared" si="24"/>
        <v>389.23178433405599</v>
      </c>
      <c r="Q32" s="139">
        <f>Q31+P32</f>
        <v>790.14052219813357</v>
      </c>
      <c r="R32" s="82">
        <f t="shared" si="25"/>
        <v>4.1843937232263873</v>
      </c>
      <c r="S32" s="82">
        <f>S31+R32</f>
        <v>8.4943192581495666</v>
      </c>
      <c r="T32" s="82">
        <f t="shared" si="26"/>
        <v>43.099255349231782</v>
      </c>
      <c r="U32" s="156">
        <f>U31+T32</f>
        <v>87.491488358940515</v>
      </c>
    </row>
    <row r="33" spans="1:21" x14ac:dyDescent="0.25">
      <c r="A33">
        <v>3</v>
      </c>
      <c r="B33" s="87">
        <f t="shared" si="27"/>
        <v>11366.059409166242</v>
      </c>
      <c r="C33" s="87">
        <f t="shared" ref="C33:C40" si="29">C32+B33</f>
        <v>35131.353027791934</v>
      </c>
      <c r="D33" s="87">
        <f t="shared" si="28"/>
        <v>207680.63752428556</v>
      </c>
      <c r="E33" s="87">
        <f t="shared" ref="E33:E40" si="30">E32+D33</f>
        <v>641920.08252381429</v>
      </c>
      <c r="F33" s="87">
        <f t="shared" si="19"/>
        <v>53840.83228797112</v>
      </c>
      <c r="G33" s="87">
        <f t="shared" ref="G33:G40" si="31">G32+F33</f>
        <v>166416.62851888995</v>
      </c>
      <c r="H33" s="87">
        <f t="shared" si="20"/>
        <v>554560.57256610249</v>
      </c>
      <c r="I33" s="87">
        <f t="shared" ref="I33:I40" si="32">I32+H33</f>
        <v>1714091.2737445661</v>
      </c>
      <c r="J33" s="87">
        <f t="shared" si="21"/>
        <v>37980.035486840832</v>
      </c>
      <c r="K33" s="87">
        <f t="shared" ref="K33:K40" si="33">K32+J33</f>
        <v>117392.49168627632</v>
      </c>
      <c r="L33" s="87">
        <f t="shared" si="22"/>
        <v>391194.36551446054</v>
      </c>
      <c r="M33" s="87">
        <f t="shared" ref="M33:M40" si="34">M32+L33</f>
        <v>1209142.6643686462</v>
      </c>
      <c r="N33" s="82">
        <f t="shared" si="23"/>
        <v>36.688828761811294</v>
      </c>
      <c r="O33" s="82">
        <f t="shared" ref="O33:O40" si="35">O32+N33</f>
        <v>113.40150081988253</v>
      </c>
      <c r="P33" s="82">
        <f t="shared" si="24"/>
        <v>377.8949362466563</v>
      </c>
      <c r="Q33" s="139">
        <f t="shared" ref="Q33:Q40" si="36">Q32+P33</f>
        <v>1168.0354584447898</v>
      </c>
      <c r="R33" s="82">
        <f t="shared" si="25"/>
        <v>4.0625181778896966</v>
      </c>
      <c r="S33" s="139">
        <f t="shared" ref="S33:S40" si="37">S32+R33</f>
        <v>12.556837436039263</v>
      </c>
      <c r="T33" s="82">
        <f t="shared" si="26"/>
        <v>41.843937232263862</v>
      </c>
      <c r="U33" s="155">
        <f t="shared" ref="U33:U40" si="38">U32+T33</f>
        <v>129.33542559120437</v>
      </c>
    </row>
    <row r="34" spans="1:21" x14ac:dyDescent="0.25">
      <c r="A34">
        <v>4</v>
      </c>
      <c r="B34" s="87">
        <f t="shared" si="27"/>
        <v>11035.009135112858</v>
      </c>
      <c r="C34" s="87">
        <f t="shared" si="29"/>
        <v>46166.362162904792</v>
      </c>
      <c r="D34" s="87">
        <f t="shared" si="28"/>
        <v>201631.68691678211</v>
      </c>
      <c r="E34" s="87">
        <f t="shared" si="30"/>
        <v>843551.76944059646</v>
      </c>
      <c r="F34" s="87">
        <f t="shared" si="19"/>
        <v>52272.65270676808</v>
      </c>
      <c r="G34" s="87">
        <f t="shared" si="31"/>
        <v>218689.28122565802</v>
      </c>
      <c r="H34" s="87">
        <f t="shared" si="20"/>
        <v>538408.32287971128</v>
      </c>
      <c r="I34" s="87">
        <f t="shared" si="32"/>
        <v>2252499.5966242775</v>
      </c>
      <c r="J34" s="87">
        <f t="shared" si="21"/>
        <v>36873.820861010514</v>
      </c>
      <c r="K34" s="87">
        <f t="shared" si="33"/>
        <v>154266.31254728683</v>
      </c>
      <c r="L34" s="87">
        <f t="shared" si="22"/>
        <v>379800.35486840835</v>
      </c>
      <c r="M34" s="87">
        <f t="shared" si="34"/>
        <v>1588943.0192370545</v>
      </c>
      <c r="N34" s="82">
        <f t="shared" si="23"/>
        <v>35.620222098845922</v>
      </c>
      <c r="O34" s="82">
        <f t="shared" si="35"/>
        <v>149.02172291872844</v>
      </c>
      <c r="P34" s="82">
        <f t="shared" si="24"/>
        <v>366.88828761811294</v>
      </c>
      <c r="Q34" s="139">
        <f t="shared" si="36"/>
        <v>1534.9237460629029</v>
      </c>
      <c r="R34" s="82">
        <f t="shared" si="25"/>
        <v>3.9441924057181521</v>
      </c>
      <c r="S34" s="139">
        <f t="shared" si="37"/>
        <v>16.501029841757415</v>
      </c>
      <c r="T34" s="82">
        <f t="shared" si="26"/>
        <v>40.625181778896959</v>
      </c>
      <c r="U34" s="155">
        <f t="shared" si="38"/>
        <v>169.96060737010134</v>
      </c>
    </row>
    <row r="35" spans="1:21" x14ac:dyDescent="0.25">
      <c r="A35">
        <v>5</v>
      </c>
      <c r="B35" s="87">
        <f t="shared" si="27"/>
        <v>10713.601102051318</v>
      </c>
      <c r="C35" s="87">
        <f t="shared" si="29"/>
        <v>56879.96326495611</v>
      </c>
      <c r="D35" s="87">
        <f t="shared" si="28"/>
        <v>195758.91933668169</v>
      </c>
      <c r="E35" s="87">
        <f t="shared" si="30"/>
        <v>1039310.6887772782</v>
      </c>
      <c r="F35" s="87">
        <f t="shared" si="19"/>
        <v>50750.148258998139</v>
      </c>
      <c r="G35" s="87">
        <f t="shared" si="31"/>
        <v>269439.42948465614</v>
      </c>
      <c r="H35" s="87">
        <f t="shared" si="20"/>
        <v>522726.52706768084</v>
      </c>
      <c r="I35" s="87">
        <f t="shared" si="32"/>
        <v>2775226.1236919584</v>
      </c>
      <c r="J35" s="87">
        <f t="shared" si="21"/>
        <v>35799.826078650993</v>
      </c>
      <c r="K35" s="87">
        <f t="shared" si="33"/>
        <v>190066.13862593781</v>
      </c>
      <c r="L35" s="87">
        <f t="shared" si="22"/>
        <v>368738.20861010521</v>
      </c>
      <c r="M35" s="87">
        <f t="shared" si="34"/>
        <v>1957681.2278471598</v>
      </c>
      <c r="N35" s="82">
        <f t="shared" si="23"/>
        <v>34.582739901792159</v>
      </c>
      <c r="O35" s="82">
        <f t="shared" si="35"/>
        <v>183.60446282052061</v>
      </c>
      <c r="P35" s="82">
        <f t="shared" si="24"/>
        <v>356.20222098845915</v>
      </c>
      <c r="Q35" s="139">
        <f t="shared" si="36"/>
        <v>1891.1259670513621</v>
      </c>
      <c r="R35" s="82">
        <f t="shared" si="25"/>
        <v>3.8293130152603418</v>
      </c>
      <c r="S35" s="139">
        <f t="shared" si="37"/>
        <v>20.330342857017758</v>
      </c>
      <c r="T35" s="82">
        <f t="shared" si="26"/>
        <v>39.441924057181517</v>
      </c>
      <c r="U35" s="155">
        <f t="shared" si="38"/>
        <v>209.40253142728287</v>
      </c>
    </row>
    <row r="36" spans="1:21" x14ac:dyDescent="0.25">
      <c r="A36">
        <v>6</v>
      </c>
      <c r="B36" s="87">
        <f t="shared" si="27"/>
        <v>10401.554468010987</v>
      </c>
      <c r="C36" s="87">
        <f t="shared" si="29"/>
        <v>67281.517732967099</v>
      </c>
      <c r="D36" s="87">
        <f t="shared" si="28"/>
        <v>190057.20323949677</v>
      </c>
      <c r="E36" s="87">
        <f t="shared" si="30"/>
        <v>1229367.892016775</v>
      </c>
      <c r="F36" s="87">
        <f t="shared" si="19"/>
        <v>49271.988600969067</v>
      </c>
      <c r="G36" s="87">
        <f t="shared" si="31"/>
        <v>318711.41808562522</v>
      </c>
      <c r="H36" s="87">
        <f t="shared" si="20"/>
        <v>507501.48258998134</v>
      </c>
      <c r="I36" s="87">
        <f t="shared" si="32"/>
        <v>3282727.6062819399</v>
      </c>
      <c r="J36" s="87">
        <f t="shared" si="21"/>
        <v>34757.112697719407</v>
      </c>
      <c r="K36" s="87">
        <f t="shared" si="33"/>
        <v>224823.25132365723</v>
      </c>
      <c r="L36" s="87">
        <f t="shared" si="22"/>
        <v>357998.2607865099</v>
      </c>
      <c r="M36" s="87">
        <f t="shared" si="34"/>
        <v>2315679.4886336699</v>
      </c>
      <c r="N36" s="82">
        <f t="shared" si="23"/>
        <v>33.575475632807915</v>
      </c>
      <c r="O36" s="82">
        <f t="shared" si="35"/>
        <v>217.17993845332853</v>
      </c>
      <c r="P36" s="82">
        <f t="shared" si="24"/>
        <v>345.82739901792149</v>
      </c>
      <c r="Q36" s="139">
        <f t="shared" si="36"/>
        <v>2236.9533660692837</v>
      </c>
      <c r="R36" s="82">
        <f t="shared" si="25"/>
        <v>3.7177796264663514</v>
      </c>
      <c r="S36" s="139">
        <f t="shared" si="37"/>
        <v>24.048122483484111</v>
      </c>
      <c r="T36" s="82">
        <f t="shared" si="26"/>
        <v>38.29313015260341</v>
      </c>
      <c r="U36" s="155">
        <f t="shared" si="38"/>
        <v>247.69566157988629</v>
      </c>
    </row>
    <row r="37" spans="1:21" x14ac:dyDescent="0.25">
      <c r="A37">
        <v>7</v>
      </c>
      <c r="B37" s="87">
        <f t="shared" si="27"/>
        <v>10098.596570884454</v>
      </c>
      <c r="C37" s="87">
        <f t="shared" si="29"/>
        <v>77380.114303851558</v>
      </c>
      <c r="D37" s="87">
        <f t="shared" si="28"/>
        <v>184521.55654320074</v>
      </c>
      <c r="E37" s="87">
        <f t="shared" si="30"/>
        <v>1413889.4485599757</v>
      </c>
      <c r="F37" s="87">
        <f t="shared" si="19"/>
        <v>47836.882136863169</v>
      </c>
      <c r="G37" s="87">
        <f t="shared" si="31"/>
        <v>366548.30022248841</v>
      </c>
      <c r="H37" s="87">
        <f t="shared" si="20"/>
        <v>492719.88600969058</v>
      </c>
      <c r="I37" s="87">
        <f t="shared" si="32"/>
        <v>3775447.4922916302</v>
      </c>
      <c r="J37" s="87">
        <f t="shared" si="21"/>
        <v>33744.769609436313</v>
      </c>
      <c r="K37" s="87">
        <f t="shared" si="33"/>
        <v>258568.02093309353</v>
      </c>
      <c r="L37" s="87">
        <f t="shared" si="22"/>
        <v>347571.12697719404</v>
      </c>
      <c r="M37" s="87">
        <f t="shared" si="34"/>
        <v>2663250.615610864</v>
      </c>
      <c r="N37" s="82">
        <f t="shared" si="23"/>
        <v>32.597549158065938</v>
      </c>
      <c r="O37" s="82">
        <f t="shared" si="35"/>
        <v>249.77748761139446</v>
      </c>
      <c r="P37" s="82">
        <f t="shared" si="24"/>
        <v>335.75475632807911</v>
      </c>
      <c r="Q37" s="139">
        <f t="shared" si="36"/>
        <v>2572.7081223973628</v>
      </c>
      <c r="R37" s="82">
        <f t="shared" si="25"/>
        <v>3.6094947829770399</v>
      </c>
      <c r="S37" s="139">
        <f t="shared" si="37"/>
        <v>27.657617266461152</v>
      </c>
      <c r="T37" s="82">
        <f t="shared" si="26"/>
        <v>37.177796264663506</v>
      </c>
      <c r="U37" s="155">
        <f t="shared" si="38"/>
        <v>284.87345784454982</v>
      </c>
    </row>
    <row r="38" spans="1:21" x14ac:dyDescent="0.25">
      <c r="A38">
        <v>8</v>
      </c>
      <c r="B38" s="87">
        <f t="shared" si="27"/>
        <v>9804.4626901790816</v>
      </c>
      <c r="C38" s="87">
        <f t="shared" si="29"/>
        <v>87184.576994030635</v>
      </c>
      <c r="D38" s="87">
        <f t="shared" si="28"/>
        <v>179147.14227495217</v>
      </c>
      <c r="E38" s="87">
        <f t="shared" si="30"/>
        <v>1593036.590834928</v>
      </c>
      <c r="F38" s="87">
        <f t="shared" si="19"/>
        <v>46443.574890158423</v>
      </c>
      <c r="G38" s="87">
        <f t="shared" si="31"/>
        <v>412991.87511264684</v>
      </c>
      <c r="H38" s="87">
        <f t="shared" si="20"/>
        <v>478368.82136863173</v>
      </c>
      <c r="I38" s="87">
        <f t="shared" si="32"/>
        <v>4253816.3136602622</v>
      </c>
      <c r="J38" s="87">
        <f t="shared" si="21"/>
        <v>32761.912242171184</v>
      </c>
      <c r="K38" s="87">
        <f t="shared" si="33"/>
        <v>291329.93317526474</v>
      </c>
      <c r="L38" s="87">
        <f t="shared" si="22"/>
        <v>337447.69609436317</v>
      </c>
      <c r="M38" s="87">
        <f t="shared" si="34"/>
        <v>3000698.311705227</v>
      </c>
      <c r="N38" s="82">
        <f t="shared" si="23"/>
        <v>31.648105978704795</v>
      </c>
      <c r="O38" s="82">
        <f t="shared" si="35"/>
        <v>281.42559359009925</v>
      </c>
      <c r="P38" s="82">
        <f t="shared" si="24"/>
        <v>325.97549158065937</v>
      </c>
      <c r="Q38" s="139">
        <f t="shared" si="36"/>
        <v>2898.6836139780221</v>
      </c>
      <c r="R38" s="82">
        <f t="shared" si="25"/>
        <v>3.5043638669680002</v>
      </c>
      <c r="S38" s="139">
        <f t="shared" si="37"/>
        <v>31.161981133429151</v>
      </c>
      <c r="T38" s="82">
        <f t="shared" si="26"/>
        <v>36.094947829770398</v>
      </c>
      <c r="U38" s="155">
        <f t="shared" si="38"/>
        <v>320.96840567432019</v>
      </c>
    </row>
    <row r="39" spans="1:21" x14ac:dyDescent="0.25">
      <c r="A39">
        <v>9</v>
      </c>
      <c r="B39" s="87">
        <f t="shared" si="27"/>
        <v>9518.8958157078469</v>
      </c>
      <c r="C39" s="87">
        <f t="shared" si="29"/>
        <v>96703.47280973848</v>
      </c>
      <c r="D39" s="87">
        <f t="shared" si="28"/>
        <v>173929.26434461377</v>
      </c>
      <c r="E39" s="87">
        <f t="shared" si="30"/>
        <v>1766965.8551795417</v>
      </c>
      <c r="F39" s="87">
        <f t="shared" si="19"/>
        <v>45090.849407920796</v>
      </c>
      <c r="G39" s="87">
        <f t="shared" si="31"/>
        <v>458082.72452056763</v>
      </c>
      <c r="H39" s="87">
        <f t="shared" si="20"/>
        <v>464435.74890158419</v>
      </c>
      <c r="I39" s="87">
        <f t="shared" si="32"/>
        <v>4718252.0625618463</v>
      </c>
      <c r="J39" s="87">
        <f t="shared" si="21"/>
        <v>31807.681788515711</v>
      </c>
      <c r="K39" s="87">
        <f t="shared" si="33"/>
        <v>323137.61496378045</v>
      </c>
      <c r="L39" s="87">
        <f t="shared" si="22"/>
        <v>327619.1224217118</v>
      </c>
      <c r="M39" s="87">
        <f t="shared" si="34"/>
        <v>3328317.4341269387</v>
      </c>
      <c r="N39" s="82">
        <f t="shared" si="23"/>
        <v>30.726316484179414</v>
      </c>
      <c r="O39" s="82">
        <f t="shared" si="35"/>
        <v>312.15191007427865</v>
      </c>
      <c r="P39" s="82">
        <f t="shared" si="24"/>
        <v>316.48105978704791</v>
      </c>
      <c r="Q39" s="139">
        <f t="shared" si="36"/>
        <v>3215.1646737650699</v>
      </c>
      <c r="R39" s="82">
        <f t="shared" si="25"/>
        <v>3.4022950164737864</v>
      </c>
      <c r="S39" s="139">
        <f t="shared" si="37"/>
        <v>34.564276149902938</v>
      </c>
      <c r="T39" s="82">
        <f t="shared" si="26"/>
        <v>35.043638669679993</v>
      </c>
      <c r="U39" s="155">
        <f t="shared" si="38"/>
        <v>356.01204434400017</v>
      </c>
    </row>
    <row r="40" spans="1:21" x14ac:dyDescent="0.25">
      <c r="A40">
        <v>10</v>
      </c>
      <c r="B40" s="87">
        <f t="shared" si="27"/>
        <v>9241.646423017326</v>
      </c>
      <c r="C40" s="87">
        <f t="shared" si="29"/>
        <v>105945.11923275581</v>
      </c>
      <c r="D40" s="87">
        <f t="shared" si="28"/>
        <v>168863.36344137258</v>
      </c>
      <c r="E40" s="87">
        <f t="shared" si="30"/>
        <v>1935829.2186209143</v>
      </c>
      <c r="F40" s="87">
        <f t="shared" si="19"/>
        <v>43777.523697010482</v>
      </c>
      <c r="G40" s="87">
        <f t="shared" si="31"/>
        <v>501860.2482175781</v>
      </c>
      <c r="H40" s="87">
        <f t="shared" si="20"/>
        <v>450908.49407920794</v>
      </c>
      <c r="I40" s="87">
        <f t="shared" si="32"/>
        <v>5169160.5566410543</v>
      </c>
      <c r="J40" s="87">
        <f t="shared" si="21"/>
        <v>30881.244454869622</v>
      </c>
      <c r="K40" s="87">
        <f t="shared" si="33"/>
        <v>354018.85941865004</v>
      </c>
      <c r="L40" s="87">
        <f t="shared" si="22"/>
        <v>318076.81788515713</v>
      </c>
      <c r="M40" s="87">
        <f t="shared" si="34"/>
        <v>3646394.2520120959</v>
      </c>
      <c r="N40" s="82">
        <f t="shared" si="23"/>
        <v>29.831375227358652</v>
      </c>
      <c r="O40" s="82">
        <f t="shared" si="35"/>
        <v>341.9832853016373</v>
      </c>
      <c r="P40" s="82">
        <f t="shared" si="24"/>
        <v>307.26316484179409</v>
      </c>
      <c r="Q40" s="139">
        <f t="shared" si="36"/>
        <v>3522.427838606864</v>
      </c>
      <c r="R40" s="82">
        <f t="shared" si="25"/>
        <v>3.3031990451201811</v>
      </c>
      <c r="S40" s="139">
        <f t="shared" si="37"/>
        <v>37.867475195023118</v>
      </c>
      <c r="T40" s="82">
        <f t="shared" si="26"/>
        <v>34.022950164737857</v>
      </c>
      <c r="U40" s="155">
        <f t="shared" si="38"/>
        <v>390.03499450873801</v>
      </c>
    </row>
    <row r="41" spans="1:21" x14ac:dyDescent="0.25">
      <c r="D41" s="85"/>
    </row>
    <row r="42" spans="1:21" s="67" customFormat="1" ht="18.75" x14ac:dyDescent="0.3">
      <c r="A42" s="67" t="str">
        <f>Summary!B13</f>
        <v>Fluoride Varnish</v>
      </c>
      <c r="B42" s="942" t="s">
        <v>150</v>
      </c>
      <c r="C42" s="942"/>
      <c r="D42" s="942"/>
      <c r="E42" s="942"/>
      <c r="F42" s="962" t="s">
        <v>152</v>
      </c>
      <c r="G42" s="962"/>
      <c r="H42" s="962"/>
      <c r="I42" s="962"/>
      <c r="J42" s="962"/>
      <c r="K42" s="962"/>
      <c r="L42" s="962"/>
      <c r="M42" s="962"/>
      <c r="N42" s="961" t="s">
        <v>151</v>
      </c>
      <c r="O42" s="961"/>
      <c r="P42" s="961"/>
      <c r="Q42" s="961"/>
      <c r="R42" s="961"/>
      <c r="S42" s="961"/>
      <c r="T42" s="961"/>
      <c r="U42" s="961"/>
    </row>
    <row r="43" spans="1:21" x14ac:dyDescent="0.25">
      <c r="A43" s="135" t="s">
        <v>58</v>
      </c>
      <c r="B43" t="s">
        <v>57</v>
      </c>
      <c r="C43" t="s">
        <v>61</v>
      </c>
      <c r="D43" t="s">
        <v>59</v>
      </c>
      <c r="E43" t="s">
        <v>61</v>
      </c>
      <c r="F43" t="s">
        <v>63</v>
      </c>
      <c r="G43" t="s">
        <v>61</v>
      </c>
      <c r="H43" t="s">
        <v>64</v>
      </c>
      <c r="I43" t="s">
        <v>61</v>
      </c>
      <c r="J43" t="s">
        <v>65</v>
      </c>
      <c r="K43" t="s">
        <v>61</v>
      </c>
      <c r="L43" t="s">
        <v>66</v>
      </c>
      <c r="M43" t="s">
        <v>67</v>
      </c>
      <c r="N43" t="s">
        <v>90</v>
      </c>
      <c r="O43" t="s">
        <v>89</v>
      </c>
      <c r="P43" t="s">
        <v>91</v>
      </c>
      <c r="Q43" t="s">
        <v>89</v>
      </c>
      <c r="R43" t="s">
        <v>92</v>
      </c>
      <c r="S43" t="s">
        <v>89</v>
      </c>
      <c r="T43" t="s">
        <v>66</v>
      </c>
      <c r="U43" t="s">
        <v>89</v>
      </c>
    </row>
    <row r="44" spans="1:21" x14ac:dyDescent="0.25">
      <c r="A44">
        <v>1</v>
      </c>
      <c r="B44" s="87">
        <f t="shared" ref="B44:B53" si="39">$B$11/(1+$E$3)^A44</f>
        <v>61090.441747572811</v>
      </c>
      <c r="C44" s="85">
        <f>B44</f>
        <v>61090.441747572811</v>
      </c>
      <c r="D44" s="137">
        <f t="shared" ref="D44:D53" si="40">$D$11/(1+$E$3)^A44</f>
        <v>142500</v>
      </c>
      <c r="E44" s="85">
        <f>D44</f>
        <v>142500</v>
      </c>
      <c r="F44" s="87">
        <f t="shared" ref="F44:F53" si="41">$F$11/(1+$E$3)^A44</f>
        <v>189846.70426982161</v>
      </c>
      <c r="G44" s="87">
        <f>F44</f>
        <v>189846.70426982161</v>
      </c>
      <c r="H44" s="87">
        <f t="shared" ref="H44:H53" si="42">$H$11/(1+$E$3)^A44</f>
        <v>372887.31006467622</v>
      </c>
      <c r="I44" s="87">
        <f>H44</f>
        <v>372887.31006467622</v>
      </c>
      <c r="J44" s="87">
        <f t="shared" ref="J44:J53" si="43">$J$11/(1+$E$3)^A44</f>
        <v>133920.37713426125</v>
      </c>
      <c r="K44" s="87">
        <f>J44</f>
        <v>133920.37713426125</v>
      </c>
      <c r="L44" s="87">
        <f t="shared" ref="L44:L53" si="44">$L$11/(1+$E$3)^A44</f>
        <v>263039.64234990295</v>
      </c>
      <c r="M44" s="87">
        <f>L44</f>
        <v>263039.64234990295</v>
      </c>
      <c r="N44" s="82">
        <f t="shared" ref="N44:N53" si="45">$N$11/(1+$E$3)^A44</f>
        <v>129.36748798190214</v>
      </c>
      <c r="O44" s="82">
        <f>N44</f>
        <v>129.36748798190214</v>
      </c>
      <c r="P44" s="82">
        <f t="shared" ref="P44:P53" si="46">$P$11/(1+$E$3)^A44</f>
        <v>254.09708737864074</v>
      </c>
      <c r="Q44" s="139">
        <f>P44</f>
        <v>254.09708737864074</v>
      </c>
      <c r="R44" s="82">
        <f t="shared" ref="R44:R53" si="47">$R$11/(1+$E$3)^A44</f>
        <v>14.324735601847486</v>
      </c>
      <c r="S44" s="82">
        <f>R44</f>
        <v>14.324735601847486</v>
      </c>
      <c r="T44" s="82">
        <f t="shared" ref="T44:T53" si="48">$T$11/(1+$E$3)^A44</f>
        <v>28.135922330097088</v>
      </c>
      <c r="U44" s="156">
        <f>T44</f>
        <v>28.135922330097088</v>
      </c>
    </row>
    <row r="45" spans="1:21" x14ac:dyDescent="0.25">
      <c r="A45">
        <v>2</v>
      </c>
      <c r="B45" s="87">
        <f t="shared" si="39"/>
        <v>59311.108492789142</v>
      </c>
      <c r="C45" s="85">
        <f>C44+B45</f>
        <v>120401.55024036195</v>
      </c>
      <c r="D45" s="137">
        <f t="shared" si="40"/>
        <v>138349.51456310682</v>
      </c>
      <c r="E45" s="85">
        <f>E44+D45</f>
        <v>280849.51456310682</v>
      </c>
      <c r="F45" s="87">
        <f t="shared" si="41"/>
        <v>184317.18861147729</v>
      </c>
      <c r="G45" s="87">
        <f>G44+F45</f>
        <v>374163.8928812989</v>
      </c>
      <c r="H45" s="87">
        <f t="shared" si="42"/>
        <v>362026.51462589926</v>
      </c>
      <c r="I45" s="87">
        <f>I44+H45</f>
        <v>734913.82469057548</v>
      </c>
      <c r="J45" s="87">
        <f t="shared" si="43"/>
        <v>130019.78362549636</v>
      </c>
      <c r="K45" s="87">
        <f>K44+J45</f>
        <v>263940.16075975762</v>
      </c>
      <c r="L45" s="87">
        <f t="shared" si="44"/>
        <v>255378.29354359509</v>
      </c>
      <c r="M45" s="87">
        <f>M44+L45</f>
        <v>518417.93589349801</v>
      </c>
      <c r="N45" s="82">
        <f t="shared" si="45"/>
        <v>125.59950289505065</v>
      </c>
      <c r="O45" s="82">
        <f>O44+N45</f>
        <v>254.96699087695279</v>
      </c>
      <c r="P45" s="82">
        <f t="shared" si="46"/>
        <v>246.69620133848616</v>
      </c>
      <c r="Q45" s="139">
        <f>Q44+P45</f>
        <v>500.79328871712687</v>
      </c>
      <c r="R45" s="82">
        <f t="shared" si="47"/>
        <v>13.907510293055813</v>
      </c>
      <c r="S45" s="82">
        <f>S44+R45</f>
        <v>28.232245894903301</v>
      </c>
      <c r="T45" s="82">
        <f t="shared" si="48"/>
        <v>27.316429446696201</v>
      </c>
      <c r="U45" s="156">
        <f>U44+T45</f>
        <v>55.452351776793293</v>
      </c>
    </row>
    <row r="46" spans="1:21" x14ac:dyDescent="0.25">
      <c r="A46">
        <v>3</v>
      </c>
      <c r="B46" s="87">
        <f t="shared" si="39"/>
        <v>57583.600478436056</v>
      </c>
      <c r="C46" s="85">
        <f t="shared" ref="C46:C53" si="49">C45+B46</f>
        <v>177985.15071879799</v>
      </c>
      <c r="D46" s="137">
        <f t="shared" si="40"/>
        <v>134319.91705155998</v>
      </c>
      <c r="E46" s="85">
        <f t="shared" ref="E46:E53" si="50">E45+D46</f>
        <v>415169.43161466683</v>
      </c>
      <c r="F46" s="87">
        <f t="shared" si="41"/>
        <v>178948.72680725949</v>
      </c>
      <c r="G46" s="87">
        <f t="shared" ref="G46:G53" si="51">G45+F46</f>
        <v>553112.61968855839</v>
      </c>
      <c r="H46" s="87">
        <f t="shared" si="42"/>
        <v>351482.05303485366</v>
      </c>
      <c r="I46" s="87">
        <f t="shared" ref="I46:I53" si="52">I45+H46</f>
        <v>1086395.8777254291</v>
      </c>
      <c r="J46" s="87">
        <f t="shared" si="43"/>
        <v>126232.79963640422</v>
      </c>
      <c r="K46" s="87">
        <f t="shared" ref="K46:K53" si="53">K45+J46</f>
        <v>390172.96039616183</v>
      </c>
      <c r="L46" s="87">
        <f t="shared" si="44"/>
        <v>247940.09081902434</v>
      </c>
      <c r="M46" s="87">
        <f t="shared" ref="M46:M53" si="54">M45+L46</f>
        <v>766358.02671252238</v>
      </c>
      <c r="N46" s="82">
        <f t="shared" si="45"/>
        <v>121.9412649466511</v>
      </c>
      <c r="O46" s="82">
        <f t="shared" ref="O46:O53" si="55">O45+N46</f>
        <v>376.90825582360389</v>
      </c>
      <c r="P46" s="82">
        <f t="shared" si="46"/>
        <v>239.51087508590891</v>
      </c>
      <c r="Q46" s="139">
        <f t="shared" ref="Q46:Q53" si="56">Q45+P46</f>
        <v>740.30416380303575</v>
      </c>
      <c r="R46" s="82">
        <f t="shared" si="47"/>
        <v>13.50243717772409</v>
      </c>
      <c r="S46" s="139">
        <f t="shared" ref="S46:S53" si="57">S45+R46</f>
        <v>41.734683072627391</v>
      </c>
      <c r="T46" s="82">
        <f t="shared" si="48"/>
        <v>26.520805288054564</v>
      </c>
      <c r="U46" s="155">
        <f t="shared" ref="U46:U53" si="58">U45+T46</f>
        <v>81.973157064847854</v>
      </c>
    </row>
    <row r="47" spans="1:21" x14ac:dyDescent="0.25">
      <c r="A47">
        <v>4</v>
      </c>
      <c r="B47" s="87">
        <f t="shared" si="39"/>
        <v>55906.408231491325</v>
      </c>
      <c r="C47" s="85">
        <f t="shared" si="49"/>
        <v>233891.55895028933</v>
      </c>
      <c r="D47" s="137">
        <f t="shared" si="40"/>
        <v>130407.68645782524</v>
      </c>
      <c r="E47" s="85">
        <f t="shared" si="50"/>
        <v>545577.11807249207</v>
      </c>
      <c r="F47" s="87">
        <f t="shared" si="41"/>
        <v>173736.62796821311</v>
      </c>
      <c r="G47" s="87">
        <f t="shared" si="51"/>
        <v>726849.24765677145</v>
      </c>
      <c r="H47" s="87">
        <f t="shared" si="42"/>
        <v>341244.71168432396</v>
      </c>
      <c r="I47" s="87">
        <f t="shared" si="52"/>
        <v>1427640.5894097532</v>
      </c>
      <c r="J47" s="87">
        <f t="shared" si="43"/>
        <v>122556.11615184876</v>
      </c>
      <c r="K47" s="87">
        <f t="shared" si="53"/>
        <v>512729.07654801058</v>
      </c>
      <c r="L47" s="87">
        <f t="shared" si="44"/>
        <v>240718.53477575182</v>
      </c>
      <c r="M47" s="87">
        <f t="shared" si="54"/>
        <v>1007076.5614882743</v>
      </c>
      <c r="N47" s="82">
        <f t="shared" si="45"/>
        <v>118.38957761810788</v>
      </c>
      <c r="O47" s="82">
        <f t="shared" si="55"/>
        <v>495.29783344171176</v>
      </c>
      <c r="P47" s="82">
        <f t="shared" si="46"/>
        <v>232.53483018049408</v>
      </c>
      <c r="Q47" s="139">
        <f t="shared" si="56"/>
        <v>972.8389939835298</v>
      </c>
      <c r="R47" s="82">
        <f t="shared" si="47"/>
        <v>13.10916230846999</v>
      </c>
      <c r="S47" s="139">
        <f t="shared" si="57"/>
        <v>54.843845381097381</v>
      </c>
      <c r="T47" s="82">
        <f t="shared" si="48"/>
        <v>25.748354648596667</v>
      </c>
      <c r="U47" s="155">
        <f t="shared" si="58"/>
        <v>107.72151171344453</v>
      </c>
    </row>
    <row r="48" spans="1:21" x14ac:dyDescent="0.25">
      <c r="A48">
        <v>5</v>
      </c>
      <c r="B48" s="87">
        <f t="shared" si="39"/>
        <v>54278.066244166337</v>
      </c>
      <c r="C48" s="85">
        <f t="shared" si="49"/>
        <v>288169.62519445567</v>
      </c>
      <c r="D48" s="137">
        <f t="shared" si="40"/>
        <v>126609.40432798569</v>
      </c>
      <c r="E48" s="85">
        <f t="shared" si="50"/>
        <v>672186.52240047778</v>
      </c>
      <c r="F48" s="87">
        <f t="shared" si="41"/>
        <v>168676.33783321665</v>
      </c>
      <c r="G48" s="87">
        <f t="shared" si="51"/>
        <v>895525.58548998809</v>
      </c>
      <c r="H48" s="87">
        <f t="shared" si="42"/>
        <v>331305.54532458639</v>
      </c>
      <c r="I48" s="87">
        <f t="shared" si="52"/>
        <v>1758946.1347343395</v>
      </c>
      <c r="J48" s="87">
        <f t="shared" si="43"/>
        <v>118986.52053577552</v>
      </c>
      <c r="K48" s="87">
        <f t="shared" si="53"/>
        <v>631715.59708378604</v>
      </c>
      <c r="L48" s="87">
        <f t="shared" si="44"/>
        <v>233707.31531626391</v>
      </c>
      <c r="M48" s="87">
        <f t="shared" si="54"/>
        <v>1240783.8768045381</v>
      </c>
      <c r="N48" s="82">
        <f t="shared" si="45"/>
        <v>114.94133749330862</v>
      </c>
      <c r="O48" s="82">
        <f t="shared" si="55"/>
        <v>610.23917093502041</v>
      </c>
      <c r="P48" s="82">
        <f t="shared" si="46"/>
        <v>225.7619710490234</v>
      </c>
      <c r="Q48" s="139">
        <f t="shared" si="56"/>
        <v>1198.6009650325532</v>
      </c>
      <c r="R48" s="82">
        <f t="shared" si="47"/>
        <v>12.727342047058244</v>
      </c>
      <c r="S48" s="139">
        <f t="shared" si="57"/>
        <v>67.571187428155625</v>
      </c>
      <c r="T48" s="82">
        <f t="shared" si="48"/>
        <v>24.998402571453077</v>
      </c>
      <c r="U48" s="155">
        <f t="shared" si="58"/>
        <v>132.71991428489761</v>
      </c>
    </row>
    <row r="49" spans="1:21" x14ac:dyDescent="0.25">
      <c r="A49">
        <v>6</v>
      </c>
      <c r="B49" s="87">
        <f t="shared" si="39"/>
        <v>52697.151693365369</v>
      </c>
      <c r="C49" s="85">
        <f t="shared" si="49"/>
        <v>340866.77688782103</v>
      </c>
      <c r="D49" s="137">
        <f t="shared" si="40"/>
        <v>122921.75177474337</v>
      </c>
      <c r="E49" s="85">
        <f t="shared" si="50"/>
        <v>795108.2741752211</v>
      </c>
      <c r="F49" s="87">
        <f t="shared" si="41"/>
        <v>163763.4347895307</v>
      </c>
      <c r="G49" s="87">
        <f t="shared" si="51"/>
        <v>1059289.0202795188</v>
      </c>
      <c r="H49" s="87">
        <f t="shared" si="42"/>
        <v>321655.86924717121</v>
      </c>
      <c r="I49" s="87">
        <f t="shared" si="52"/>
        <v>2080602.0039815106</v>
      </c>
      <c r="J49" s="87">
        <f t="shared" si="43"/>
        <v>115520.89372405389</v>
      </c>
      <c r="K49" s="87">
        <f t="shared" si="53"/>
        <v>747236.4908078399</v>
      </c>
      <c r="L49" s="87">
        <f t="shared" si="44"/>
        <v>226900.30613229505</v>
      </c>
      <c r="M49" s="87">
        <f t="shared" si="54"/>
        <v>1467684.1829368332</v>
      </c>
      <c r="N49" s="82">
        <f t="shared" si="45"/>
        <v>111.59353154690157</v>
      </c>
      <c r="O49" s="82">
        <f t="shared" si="55"/>
        <v>721.83270248192196</v>
      </c>
      <c r="P49" s="82">
        <f t="shared" si="46"/>
        <v>219.186379659246</v>
      </c>
      <c r="Q49" s="139">
        <f t="shared" si="56"/>
        <v>1417.7873446917993</v>
      </c>
      <c r="R49" s="82">
        <f t="shared" si="47"/>
        <v>12.356642764134218</v>
      </c>
      <c r="S49" s="139">
        <f t="shared" si="57"/>
        <v>79.927830192289846</v>
      </c>
      <c r="T49" s="82">
        <f t="shared" si="48"/>
        <v>24.270293758692304</v>
      </c>
      <c r="U49" s="155">
        <f t="shared" si="58"/>
        <v>156.99020804358992</v>
      </c>
    </row>
    <row r="50" spans="1:21" x14ac:dyDescent="0.25">
      <c r="A50">
        <v>7</v>
      </c>
      <c r="B50" s="87">
        <f t="shared" si="39"/>
        <v>51162.283197442106</v>
      </c>
      <c r="C50" s="85">
        <f t="shared" si="49"/>
        <v>392029.06008526316</v>
      </c>
      <c r="D50" s="137">
        <f t="shared" si="40"/>
        <v>119341.50657742075</v>
      </c>
      <c r="E50" s="85">
        <f t="shared" si="50"/>
        <v>914449.78075264185</v>
      </c>
      <c r="F50" s="87">
        <f t="shared" si="41"/>
        <v>158993.62600925309</v>
      </c>
      <c r="G50" s="87">
        <f t="shared" si="51"/>
        <v>1218282.6462887719</v>
      </c>
      <c r="H50" s="87">
        <f t="shared" si="42"/>
        <v>312287.25169628271</v>
      </c>
      <c r="I50" s="87">
        <f t="shared" si="52"/>
        <v>2392889.2556777932</v>
      </c>
      <c r="J50" s="87">
        <f t="shared" si="43"/>
        <v>112156.20749908144</v>
      </c>
      <c r="K50" s="87">
        <f t="shared" si="53"/>
        <v>859392.6983069214</v>
      </c>
      <c r="L50" s="87">
        <f t="shared" si="44"/>
        <v>220291.55935174273</v>
      </c>
      <c r="M50" s="87">
        <f t="shared" si="54"/>
        <v>1687975.742288576</v>
      </c>
      <c r="N50" s="82">
        <f t="shared" si="45"/>
        <v>108.34323451155493</v>
      </c>
      <c r="O50" s="82">
        <f t="shared" si="55"/>
        <v>830.17593699347685</v>
      </c>
      <c r="P50" s="82">
        <f t="shared" si="46"/>
        <v>212.80231034878253</v>
      </c>
      <c r="Q50" s="139">
        <f t="shared" si="56"/>
        <v>1630.5896550405819</v>
      </c>
      <c r="R50" s="82">
        <f t="shared" si="47"/>
        <v>11.996740547703123</v>
      </c>
      <c r="S50" s="139">
        <f t="shared" si="57"/>
        <v>91.924570739992973</v>
      </c>
      <c r="T50" s="82">
        <f t="shared" si="48"/>
        <v>23.563391998730392</v>
      </c>
      <c r="U50" s="155">
        <f t="shared" si="58"/>
        <v>180.55360004232031</v>
      </c>
    </row>
    <row r="51" spans="1:21" x14ac:dyDescent="0.25">
      <c r="A51">
        <v>8</v>
      </c>
      <c r="B51" s="87">
        <f t="shared" si="39"/>
        <v>49672.119609167101</v>
      </c>
      <c r="C51" s="85">
        <f t="shared" si="49"/>
        <v>441701.17969443026</v>
      </c>
      <c r="D51" s="137">
        <f t="shared" si="40"/>
        <v>115865.54036642793</v>
      </c>
      <c r="E51" s="85">
        <f t="shared" si="50"/>
        <v>1030315.3211190698</v>
      </c>
      <c r="F51" s="87">
        <f t="shared" si="41"/>
        <v>154362.743698304</v>
      </c>
      <c r="G51" s="87">
        <f t="shared" si="51"/>
        <v>1372645.3899870759</v>
      </c>
      <c r="H51" s="87">
        <f t="shared" si="42"/>
        <v>303191.50650124543</v>
      </c>
      <c r="I51" s="87">
        <f t="shared" si="52"/>
        <v>2696080.7621790385</v>
      </c>
      <c r="J51" s="87">
        <f t="shared" si="43"/>
        <v>108889.52184376839</v>
      </c>
      <c r="K51" s="87">
        <f t="shared" si="53"/>
        <v>968282.22015068983</v>
      </c>
      <c r="L51" s="87">
        <f t="shared" si="44"/>
        <v>213875.30034149784</v>
      </c>
      <c r="M51" s="87">
        <f t="shared" si="54"/>
        <v>1901851.0426300738</v>
      </c>
      <c r="N51" s="82">
        <f t="shared" si="45"/>
        <v>105.18760632189799</v>
      </c>
      <c r="O51" s="82">
        <f t="shared" si="55"/>
        <v>935.36354331537484</v>
      </c>
      <c r="P51" s="82">
        <f t="shared" si="46"/>
        <v>206.60418480464324</v>
      </c>
      <c r="Q51" s="139">
        <f t="shared" si="56"/>
        <v>1837.1938398452251</v>
      </c>
      <c r="R51" s="82">
        <f t="shared" si="47"/>
        <v>11.647320920100121</v>
      </c>
      <c r="S51" s="139">
        <f t="shared" si="57"/>
        <v>103.57189166009309</v>
      </c>
      <c r="T51" s="82">
        <f t="shared" si="48"/>
        <v>22.877079610417859</v>
      </c>
      <c r="U51" s="155">
        <f t="shared" si="58"/>
        <v>203.43067965273818</v>
      </c>
    </row>
    <row r="52" spans="1:21" x14ac:dyDescent="0.25">
      <c r="A52">
        <v>9</v>
      </c>
      <c r="B52" s="87">
        <f t="shared" si="39"/>
        <v>48225.358843851551</v>
      </c>
      <c r="C52" s="85">
        <f t="shared" si="49"/>
        <v>489926.53853828181</v>
      </c>
      <c r="D52" s="137">
        <f t="shared" si="40"/>
        <v>112490.81588973585</v>
      </c>
      <c r="E52" s="85">
        <f t="shared" si="50"/>
        <v>1142806.1370088058</v>
      </c>
      <c r="F52" s="87">
        <f t="shared" si="41"/>
        <v>149866.74145466406</v>
      </c>
      <c r="G52" s="87">
        <f t="shared" si="51"/>
        <v>1522512.1314417401</v>
      </c>
      <c r="H52" s="87">
        <f t="shared" si="42"/>
        <v>294360.68592353922</v>
      </c>
      <c r="I52" s="87">
        <f t="shared" si="52"/>
        <v>2990441.4481025776</v>
      </c>
      <c r="J52" s="87">
        <f t="shared" si="43"/>
        <v>105717.98237259068</v>
      </c>
      <c r="K52" s="87">
        <f t="shared" si="53"/>
        <v>1074000.2025232804</v>
      </c>
      <c r="L52" s="87">
        <f t="shared" si="44"/>
        <v>207645.92266164836</v>
      </c>
      <c r="M52" s="87">
        <f t="shared" si="54"/>
        <v>2109496.9652917222</v>
      </c>
      <c r="N52" s="82">
        <f t="shared" si="45"/>
        <v>102.12388963291068</v>
      </c>
      <c r="O52" s="82">
        <f t="shared" si="55"/>
        <v>1037.4874329482855</v>
      </c>
      <c r="P52" s="82">
        <f t="shared" si="46"/>
        <v>200.58658718897402</v>
      </c>
      <c r="Q52" s="139">
        <f t="shared" si="56"/>
        <v>2037.780427034199</v>
      </c>
      <c r="R52" s="82">
        <f t="shared" si="47"/>
        <v>11.308078563204001</v>
      </c>
      <c r="S52" s="139">
        <f t="shared" si="57"/>
        <v>114.87997022329709</v>
      </c>
      <c r="T52" s="82">
        <f t="shared" si="48"/>
        <v>22.210756903318309</v>
      </c>
      <c r="U52" s="155">
        <f t="shared" si="58"/>
        <v>225.64143655605648</v>
      </c>
    </row>
    <row r="53" spans="1:21" x14ac:dyDescent="0.25">
      <c r="A53">
        <v>10</v>
      </c>
      <c r="B53" s="87">
        <f t="shared" si="39"/>
        <v>46820.736741603447</v>
      </c>
      <c r="C53" s="85">
        <f t="shared" si="49"/>
        <v>536747.27527988527</v>
      </c>
      <c r="D53" s="137">
        <f t="shared" si="40"/>
        <v>109214.38435896684</v>
      </c>
      <c r="E53" s="85">
        <f t="shared" si="50"/>
        <v>1252020.5213677725</v>
      </c>
      <c r="F53" s="87">
        <f t="shared" si="41"/>
        <v>145501.69073268355</v>
      </c>
      <c r="G53" s="87">
        <f t="shared" si="51"/>
        <v>1668013.8221744236</v>
      </c>
      <c r="H53" s="87">
        <f t="shared" si="42"/>
        <v>285787.07371217402</v>
      </c>
      <c r="I53" s="87">
        <f t="shared" si="52"/>
        <v>3276228.5218147514</v>
      </c>
      <c r="J53" s="87">
        <f t="shared" si="43"/>
        <v>102638.81783746667</v>
      </c>
      <c r="K53" s="87">
        <f t="shared" si="53"/>
        <v>1176639.0203607471</v>
      </c>
      <c r="L53" s="87">
        <f t="shared" si="44"/>
        <v>201597.98316664892</v>
      </c>
      <c r="M53" s="87">
        <f t="shared" si="54"/>
        <v>2311094.9484583712</v>
      </c>
      <c r="N53" s="82">
        <f t="shared" si="45"/>
        <v>99.149407410592886</v>
      </c>
      <c r="O53" s="82">
        <f t="shared" si="55"/>
        <v>1136.6368403588783</v>
      </c>
      <c r="P53" s="82">
        <f t="shared" si="46"/>
        <v>194.74425940677091</v>
      </c>
      <c r="Q53" s="139">
        <f t="shared" si="56"/>
        <v>2232.5246864409701</v>
      </c>
      <c r="R53" s="82">
        <f t="shared" si="47"/>
        <v>10.978717051654369</v>
      </c>
      <c r="S53" s="139">
        <f t="shared" si="57"/>
        <v>125.85868727495146</v>
      </c>
      <c r="T53" s="82">
        <f t="shared" si="48"/>
        <v>21.563841653707097</v>
      </c>
      <c r="U53" s="155">
        <f t="shared" si="58"/>
        <v>247.20527820976358</v>
      </c>
    </row>
    <row r="56" spans="1:21" s="67" customFormat="1" ht="18.75" x14ac:dyDescent="0.3">
      <c r="A56" s="67" t="str">
        <f>Summary!B14</f>
        <v>Toothbrush/      Toothpaste</v>
      </c>
      <c r="B56" s="942" t="s">
        <v>150</v>
      </c>
      <c r="C56" s="942"/>
      <c r="D56" s="942"/>
      <c r="E56" s="942"/>
      <c r="F56" s="962" t="s">
        <v>152</v>
      </c>
      <c r="G56" s="962"/>
      <c r="H56" s="962"/>
      <c r="I56" s="962"/>
      <c r="J56" s="962"/>
      <c r="K56" s="962"/>
      <c r="L56" s="962"/>
      <c r="M56" s="962"/>
      <c r="N56" s="961" t="s">
        <v>151</v>
      </c>
      <c r="O56" s="961"/>
      <c r="P56" s="961"/>
      <c r="Q56" s="961"/>
      <c r="R56" s="961"/>
      <c r="S56" s="961"/>
      <c r="T56" s="961"/>
      <c r="U56" s="961"/>
    </row>
    <row r="57" spans="1:21" x14ac:dyDescent="0.25">
      <c r="A57" s="135" t="s">
        <v>58</v>
      </c>
      <c r="B57" t="s">
        <v>57</v>
      </c>
      <c r="C57" t="s">
        <v>61</v>
      </c>
      <c r="D57" t="s">
        <v>59</v>
      </c>
      <c r="E57" t="s">
        <v>61</v>
      </c>
      <c r="F57" t="s">
        <v>63</v>
      </c>
      <c r="G57" t="s">
        <v>61</v>
      </c>
      <c r="H57" t="s">
        <v>64</v>
      </c>
      <c r="I57" t="s">
        <v>61</v>
      </c>
      <c r="J57" t="s">
        <v>65</v>
      </c>
      <c r="K57" t="s">
        <v>61</v>
      </c>
      <c r="L57" t="s">
        <v>66</v>
      </c>
      <c r="M57" t="s">
        <v>67</v>
      </c>
      <c r="N57" t="s">
        <v>90</v>
      </c>
      <c r="O57" t="s">
        <v>89</v>
      </c>
      <c r="P57" t="s">
        <v>91</v>
      </c>
      <c r="Q57" t="s">
        <v>89</v>
      </c>
      <c r="R57" t="s">
        <v>92</v>
      </c>
      <c r="S57" t="s">
        <v>89</v>
      </c>
      <c r="T57" t="s">
        <v>66</v>
      </c>
      <c r="U57" t="s">
        <v>89</v>
      </c>
    </row>
    <row r="58" spans="1:21" x14ac:dyDescent="0.25">
      <c r="A58">
        <v>1</v>
      </c>
      <c r="B58" s="137">
        <f t="shared" ref="B58:B67" si="59">$B$12/(1+$E$3)^A58</f>
        <v>60500.000000000007</v>
      </c>
      <c r="C58" s="85">
        <f>B58</f>
        <v>60500.000000000007</v>
      </c>
      <c r="D58" s="137">
        <f t="shared" ref="D58:D67" si="60">$D$12/(1+$E$3)^A58</f>
        <v>110000</v>
      </c>
      <c r="E58" s="139">
        <f>D58</f>
        <v>110000</v>
      </c>
      <c r="F58" s="87">
        <f t="shared" ref="F58:F67" si="61">$F$12/(1+$E$3)^A58</f>
        <v>239269.35729150067</v>
      </c>
      <c r="G58" s="87">
        <f>F58</f>
        <v>239269.35729150067</v>
      </c>
      <c r="H58" s="87">
        <f t="shared" ref="H58:H67" si="62">$H$12/(1+$E$3)^A58</f>
        <v>435035.19507545565</v>
      </c>
      <c r="I58" s="87">
        <f>H58</f>
        <v>435035.19507545565</v>
      </c>
      <c r="J58" s="87">
        <f t="shared" ref="J58:J67" si="63">$J$12/(1+$E$3)^A58</f>
        <v>168783.77050785438</v>
      </c>
      <c r="K58" s="87">
        <f>J58</f>
        <v>168783.77050785438</v>
      </c>
      <c r="L58" s="87">
        <f t="shared" ref="L58:L67" si="64">$L$12/(1+$E$3)^A58</f>
        <v>306879.58274155343</v>
      </c>
      <c r="M58" s="87">
        <f>L58</f>
        <v>306879.58274155343</v>
      </c>
      <c r="N58" s="82">
        <f t="shared" ref="N58:N67" si="65">$N$12/(1+$E$3)^A58</f>
        <v>163.04563106796121</v>
      </c>
      <c r="O58" s="82">
        <f>N58</f>
        <v>163.04563106796121</v>
      </c>
      <c r="P58" s="82">
        <f t="shared" ref="P58:P67" si="66">$P$12/(1+$E$3)^A58</f>
        <v>296.44660194174753</v>
      </c>
      <c r="Q58" s="139">
        <f>P58</f>
        <v>296.44660194174753</v>
      </c>
      <c r="R58" s="82">
        <f t="shared" ref="R58:R67" si="67">$R$12/(1+$E$3)^A58</f>
        <v>18.05388349514563</v>
      </c>
      <c r="S58" s="82">
        <f>R58</f>
        <v>18.05388349514563</v>
      </c>
      <c r="T58" s="82">
        <f t="shared" ref="T58:T67" si="68">$T$12/(1+$E$3)^A58</f>
        <v>32.825242718446603</v>
      </c>
      <c r="U58" s="156">
        <f>T58</f>
        <v>32.825242718446603</v>
      </c>
    </row>
    <row r="59" spans="1:21" x14ac:dyDescent="0.25">
      <c r="A59">
        <v>2</v>
      </c>
      <c r="B59" s="137">
        <f t="shared" si="59"/>
        <v>58737.86407766991</v>
      </c>
      <c r="C59" s="85">
        <f>C58+B59</f>
        <v>119237.86407766992</v>
      </c>
      <c r="D59" s="137">
        <f t="shared" si="60"/>
        <v>106796.11650485438</v>
      </c>
      <c r="E59" s="139">
        <f>E58+D59</f>
        <v>216796.11650485438</v>
      </c>
      <c r="F59" s="87">
        <f t="shared" si="61"/>
        <v>232300.34688495213</v>
      </c>
      <c r="G59" s="87">
        <f>G58+F59</f>
        <v>471569.70417645283</v>
      </c>
      <c r="H59" s="87">
        <f t="shared" si="62"/>
        <v>422364.2670635492</v>
      </c>
      <c r="I59" s="87">
        <f>I58+H59</f>
        <v>857399.46213900484</v>
      </c>
      <c r="J59" s="87">
        <f t="shared" si="63"/>
        <v>163867.73835714019</v>
      </c>
      <c r="K59" s="87">
        <f>K58+J59</f>
        <v>332651.50886499457</v>
      </c>
      <c r="L59" s="87">
        <f t="shared" si="64"/>
        <v>297941.3424675276</v>
      </c>
      <c r="M59" s="87">
        <f>M58+L59</f>
        <v>604820.92520908103</v>
      </c>
      <c r="N59" s="82">
        <f t="shared" si="65"/>
        <v>158.29672919219536</v>
      </c>
      <c r="O59" s="82">
        <f>O58+N59</f>
        <v>321.34236026015657</v>
      </c>
      <c r="P59" s="82">
        <f t="shared" si="66"/>
        <v>287.81223489490054</v>
      </c>
      <c r="Q59" s="139">
        <f>Q58+P59</f>
        <v>584.25883683664802</v>
      </c>
      <c r="R59" s="82">
        <f t="shared" si="67"/>
        <v>17.52804222829673</v>
      </c>
      <c r="S59" s="82">
        <f>S58+R59</f>
        <v>35.58192572344236</v>
      </c>
      <c r="T59" s="82">
        <f t="shared" si="68"/>
        <v>31.86916768781224</v>
      </c>
      <c r="U59" s="156">
        <f>U58+T59</f>
        <v>64.694410406258839</v>
      </c>
    </row>
    <row r="60" spans="1:21" x14ac:dyDescent="0.25">
      <c r="A60">
        <v>3</v>
      </c>
      <c r="B60" s="137">
        <f t="shared" si="59"/>
        <v>57027.052502592145</v>
      </c>
      <c r="C60" s="85">
        <f t="shared" ref="C60:C67" si="69">C59+B60</f>
        <v>176264.91658026207</v>
      </c>
      <c r="D60" s="137">
        <f t="shared" si="60"/>
        <v>103685.55000471298</v>
      </c>
      <c r="E60" s="139">
        <f t="shared" ref="E60:E67" si="70">E59+D60</f>
        <v>320481.66650956735</v>
      </c>
      <c r="F60" s="87">
        <f t="shared" si="61"/>
        <v>225534.31736403119</v>
      </c>
      <c r="G60" s="87">
        <f t="shared" ref="G60:G67" si="71">G59+F60</f>
        <v>697104.02154048404</v>
      </c>
      <c r="H60" s="87">
        <f t="shared" si="62"/>
        <v>410062.3952073293</v>
      </c>
      <c r="I60" s="87">
        <f t="shared" ref="I60:I67" si="72">I59+H60</f>
        <v>1267461.857346334</v>
      </c>
      <c r="J60" s="87">
        <f t="shared" si="63"/>
        <v>159094.89160887396</v>
      </c>
      <c r="K60" s="87">
        <f t="shared" ref="K60:K67" si="73">K59+J60</f>
        <v>491746.40047386853</v>
      </c>
      <c r="L60" s="87">
        <f t="shared" si="64"/>
        <v>289263.43928886176</v>
      </c>
      <c r="M60" s="87">
        <f t="shared" ref="M60:M67" si="74">M59+L60</f>
        <v>894084.36449794285</v>
      </c>
      <c r="N60" s="82">
        <f t="shared" si="65"/>
        <v>153.68614484679159</v>
      </c>
      <c r="O60" s="82">
        <f t="shared" ref="O60:O67" si="75">O59+N60</f>
        <v>475.02850510694816</v>
      </c>
      <c r="P60" s="82">
        <f t="shared" si="66"/>
        <v>279.42935426689371</v>
      </c>
      <c r="Q60" s="139">
        <f t="shared" ref="Q60:Q67" si="76">Q59+P60</f>
        <v>863.68819110354173</v>
      </c>
      <c r="R60" s="82">
        <f t="shared" si="67"/>
        <v>17.017516726501679</v>
      </c>
      <c r="S60" s="139">
        <f t="shared" ref="S60:S67" si="77">S59+R60</f>
        <v>52.599442449944036</v>
      </c>
      <c r="T60" s="82">
        <f t="shared" si="68"/>
        <v>30.940939502730327</v>
      </c>
      <c r="U60" s="155">
        <f t="shared" ref="U60:U67" si="78">U59+T60</f>
        <v>95.63534990898917</v>
      </c>
    </row>
    <row r="61" spans="1:21" x14ac:dyDescent="0.25">
      <c r="A61">
        <v>4</v>
      </c>
      <c r="B61" s="137">
        <f t="shared" si="59"/>
        <v>55366.070390866167</v>
      </c>
      <c r="C61" s="85">
        <f t="shared" si="69"/>
        <v>231630.98697112824</v>
      </c>
      <c r="D61" s="137">
        <f t="shared" si="60"/>
        <v>100665.58252884756</v>
      </c>
      <c r="E61" s="139">
        <f t="shared" si="70"/>
        <v>421147.24903841491</v>
      </c>
      <c r="F61" s="87">
        <f t="shared" si="61"/>
        <v>218965.35666410797</v>
      </c>
      <c r="G61" s="87">
        <f t="shared" si="71"/>
        <v>916069.37820459204</v>
      </c>
      <c r="H61" s="87">
        <f t="shared" si="62"/>
        <v>398118.83029837802</v>
      </c>
      <c r="I61" s="87">
        <f t="shared" si="72"/>
        <v>1665580.6876447122</v>
      </c>
      <c r="J61" s="87">
        <f t="shared" si="63"/>
        <v>154461.05981444076</v>
      </c>
      <c r="K61" s="87">
        <f t="shared" si="73"/>
        <v>646207.46028830926</v>
      </c>
      <c r="L61" s="87">
        <f t="shared" si="64"/>
        <v>280838.29057171044</v>
      </c>
      <c r="M61" s="87">
        <f t="shared" si="74"/>
        <v>1174922.6550696534</v>
      </c>
      <c r="N61" s="82">
        <f t="shared" si="65"/>
        <v>149.20984936581709</v>
      </c>
      <c r="O61" s="82">
        <f t="shared" si="75"/>
        <v>624.2383544727652</v>
      </c>
      <c r="P61" s="82">
        <f t="shared" si="66"/>
        <v>271.29063521057645</v>
      </c>
      <c r="Q61" s="139">
        <f t="shared" si="76"/>
        <v>1134.9788263141181</v>
      </c>
      <c r="R61" s="82">
        <f t="shared" si="67"/>
        <v>16.521860899516195</v>
      </c>
      <c r="S61" s="139">
        <f t="shared" si="77"/>
        <v>69.121303349460234</v>
      </c>
      <c r="T61" s="82">
        <f t="shared" si="68"/>
        <v>30.039747090029447</v>
      </c>
      <c r="U61" s="155">
        <f t="shared" si="78"/>
        <v>125.67509699901862</v>
      </c>
    </row>
    <row r="62" spans="1:21" x14ac:dyDescent="0.25">
      <c r="A62">
        <v>5</v>
      </c>
      <c r="B62" s="137">
        <f t="shared" si="59"/>
        <v>53753.466398899189</v>
      </c>
      <c r="C62" s="85">
        <f t="shared" si="69"/>
        <v>285384.45337002742</v>
      </c>
      <c r="D62" s="137">
        <f t="shared" si="60"/>
        <v>97733.575270725793</v>
      </c>
      <c r="E62" s="139">
        <f t="shared" si="70"/>
        <v>518880.82430914068</v>
      </c>
      <c r="F62" s="87">
        <f t="shared" si="61"/>
        <v>212587.72491660967</v>
      </c>
      <c r="G62" s="87">
        <f t="shared" si="71"/>
        <v>1128657.1031212017</v>
      </c>
      <c r="H62" s="87">
        <f t="shared" si="62"/>
        <v>386523.1362120175</v>
      </c>
      <c r="I62" s="87">
        <f t="shared" si="72"/>
        <v>2052103.8238567295</v>
      </c>
      <c r="J62" s="87">
        <f t="shared" si="63"/>
        <v>149962.19399460268</v>
      </c>
      <c r="K62" s="87">
        <f t="shared" si="73"/>
        <v>796169.65428291191</v>
      </c>
      <c r="L62" s="87">
        <f t="shared" si="64"/>
        <v>272658.53453564126</v>
      </c>
      <c r="M62" s="87">
        <f t="shared" si="74"/>
        <v>1447581.1896052947</v>
      </c>
      <c r="N62" s="82">
        <f t="shared" si="65"/>
        <v>144.8639314231234</v>
      </c>
      <c r="O62" s="82">
        <f t="shared" si="75"/>
        <v>769.1022858958886</v>
      </c>
      <c r="P62" s="82">
        <f t="shared" si="66"/>
        <v>263.38896622386062</v>
      </c>
      <c r="Q62" s="139">
        <f t="shared" si="76"/>
        <v>1398.3677925379789</v>
      </c>
      <c r="R62" s="82">
        <f t="shared" si="67"/>
        <v>16.040641650015726</v>
      </c>
      <c r="S62" s="139">
        <f t="shared" si="77"/>
        <v>85.161944999475963</v>
      </c>
      <c r="T62" s="82">
        <f t="shared" si="68"/>
        <v>29.164803000028591</v>
      </c>
      <c r="U62" s="155">
        <f t="shared" si="78"/>
        <v>154.83989999904722</v>
      </c>
    </row>
    <row r="63" spans="1:21" x14ac:dyDescent="0.25">
      <c r="A63">
        <v>6</v>
      </c>
      <c r="B63" s="137">
        <f t="shared" si="59"/>
        <v>52187.831455241932</v>
      </c>
      <c r="C63" s="85">
        <f t="shared" si="69"/>
        <v>337572.28482526937</v>
      </c>
      <c r="D63" s="137">
        <f t="shared" si="60"/>
        <v>94886.966282258043</v>
      </c>
      <c r="E63" s="139">
        <f t="shared" si="70"/>
        <v>613767.79059139872</v>
      </c>
      <c r="F63" s="87">
        <f t="shared" si="61"/>
        <v>206395.84943360163</v>
      </c>
      <c r="G63" s="87">
        <f t="shared" si="71"/>
        <v>1335052.9525548033</v>
      </c>
      <c r="H63" s="87">
        <f t="shared" si="62"/>
        <v>375265.18078836647</v>
      </c>
      <c r="I63" s="87">
        <f t="shared" si="72"/>
        <v>2427369.0046450961</v>
      </c>
      <c r="J63" s="87">
        <f t="shared" si="63"/>
        <v>145594.36310155599</v>
      </c>
      <c r="K63" s="87">
        <f t="shared" si="73"/>
        <v>941764.01738446788</v>
      </c>
      <c r="L63" s="87">
        <f t="shared" si="64"/>
        <v>264717.02382101089</v>
      </c>
      <c r="M63" s="87">
        <f t="shared" si="74"/>
        <v>1712298.2134263057</v>
      </c>
      <c r="N63" s="82">
        <f t="shared" si="65"/>
        <v>140.64459361468292</v>
      </c>
      <c r="O63" s="82">
        <f t="shared" si="75"/>
        <v>909.74687951057149</v>
      </c>
      <c r="P63" s="82">
        <f t="shared" si="66"/>
        <v>255.71744293578701</v>
      </c>
      <c r="Q63" s="139">
        <f t="shared" si="76"/>
        <v>1654.0852354737658</v>
      </c>
      <c r="R63" s="82">
        <f t="shared" si="67"/>
        <v>15.573438495160897</v>
      </c>
      <c r="S63" s="139">
        <f t="shared" si="77"/>
        <v>100.73538349463686</v>
      </c>
      <c r="T63" s="82">
        <f t="shared" si="68"/>
        <v>28.315342718474358</v>
      </c>
      <c r="U63" s="155">
        <f t="shared" si="78"/>
        <v>183.15524271752159</v>
      </c>
    </row>
    <row r="64" spans="1:21" x14ac:dyDescent="0.25">
      <c r="A64">
        <v>7</v>
      </c>
      <c r="B64" s="137">
        <f t="shared" si="59"/>
        <v>50667.797529361094</v>
      </c>
      <c r="C64" s="85">
        <f t="shared" si="69"/>
        <v>388240.08235463046</v>
      </c>
      <c r="D64" s="137">
        <f t="shared" si="60"/>
        <v>92123.268235201976</v>
      </c>
      <c r="E64" s="139">
        <f t="shared" si="70"/>
        <v>705891.05882660067</v>
      </c>
      <c r="F64" s="87">
        <f t="shared" si="61"/>
        <v>200384.31983844817</v>
      </c>
      <c r="G64" s="87">
        <f t="shared" si="71"/>
        <v>1535437.2723932515</v>
      </c>
      <c r="H64" s="87">
        <f t="shared" si="62"/>
        <v>364335.12697899656</v>
      </c>
      <c r="I64" s="87">
        <f t="shared" si="72"/>
        <v>2791704.1316240928</v>
      </c>
      <c r="J64" s="87">
        <f t="shared" si="63"/>
        <v>141353.75058403492</v>
      </c>
      <c r="K64" s="87">
        <f t="shared" si="73"/>
        <v>1083117.7679685028</v>
      </c>
      <c r="L64" s="87">
        <f t="shared" si="64"/>
        <v>257006.81924369989</v>
      </c>
      <c r="M64" s="87">
        <f t="shared" si="74"/>
        <v>1969305.0326700057</v>
      </c>
      <c r="N64" s="82">
        <f t="shared" si="65"/>
        <v>136.54814914046884</v>
      </c>
      <c r="O64" s="82">
        <f t="shared" si="75"/>
        <v>1046.2950286510404</v>
      </c>
      <c r="P64" s="82">
        <f t="shared" si="66"/>
        <v>248.26936207357963</v>
      </c>
      <c r="Q64" s="139">
        <f t="shared" si="76"/>
        <v>1902.3545975473455</v>
      </c>
      <c r="R64" s="82">
        <f t="shared" si="67"/>
        <v>15.119843199185336</v>
      </c>
      <c r="S64" s="139">
        <f t="shared" si="77"/>
        <v>115.8552266938222</v>
      </c>
      <c r="T64" s="82">
        <f t="shared" si="68"/>
        <v>27.490623998518792</v>
      </c>
      <c r="U64" s="155">
        <f t="shared" si="78"/>
        <v>210.64586671604039</v>
      </c>
    </row>
    <row r="65" spans="1:21" x14ac:dyDescent="0.25">
      <c r="A65">
        <v>8</v>
      </c>
      <c r="B65" s="137">
        <f t="shared" si="59"/>
        <v>49192.036436272916</v>
      </c>
      <c r="C65" s="85">
        <f t="shared" si="69"/>
        <v>437432.11879090336</v>
      </c>
      <c r="D65" s="137">
        <f t="shared" si="60"/>
        <v>89440.066247768918</v>
      </c>
      <c r="E65" s="139">
        <f t="shared" si="70"/>
        <v>795331.1250743696</v>
      </c>
      <c r="F65" s="87">
        <f t="shared" si="61"/>
        <v>194547.8833382992</v>
      </c>
      <c r="G65" s="87">
        <f t="shared" si="71"/>
        <v>1729985.1557315507</v>
      </c>
      <c r="H65" s="87">
        <f t="shared" si="62"/>
        <v>353723.42425145302</v>
      </c>
      <c r="I65" s="87">
        <f t="shared" si="72"/>
        <v>3145427.5558755458</v>
      </c>
      <c r="J65" s="87">
        <f t="shared" si="63"/>
        <v>137236.65105246112</v>
      </c>
      <c r="K65" s="87">
        <f t="shared" si="73"/>
        <v>1220354.4190209638</v>
      </c>
      <c r="L65" s="87">
        <f t="shared" si="64"/>
        <v>249521.1837317475</v>
      </c>
      <c r="M65" s="87">
        <f t="shared" si="74"/>
        <v>2218826.216401753</v>
      </c>
      <c r="N65" s="82">
        <f t="shared" si="65"/>
        <v>132.57101858297946</v>
      </c>
      <c r="O65" s="82">
        <f t="shared" si="75"/>
        <v>1178.8660472340198</v>
      </c>
      <c r="P65" s="82">
        <f t="shared" si="66"/>
        <v>241.03821560541712</v>
      </c>
      <c r="Q65" s="139">
        <f t="shared" si="76"/>
        <v>2143.3928131527628</v>
      </c>
      <c r="R65" s="82">
        <f t="shared" si="67"/>
        <v>14.679459416684793</v>
      </c>
      <c r="S65" s="139">
        <f t="shared" si="77"/>
        <v>130.53468611050698</v>
      </c>
      <c r="T65" s="82">
        <f t="shared" si="68"/>
        <v>26.68992621215417</v>
      </c>
      <c r="U65" s="155">
        <f t="shared" si="78"/>
        <v>237.33579292819456</v>
      </c>
    </row>
    <row r="66" spans="1:21" x14ac:dyDescent="0.25">
      <c r="A66">
        <v>9</v>
      </c>
      <c r="B66" s="137">
        <f t="shared" si="59"/>
        <v>47759.258675993122</v>
      </c>
      <c r="C66" s="85">
        <f t="shared" si="69"/>
        <v>485191.37746689649</v>
      </c>
      <c r="D66" s="137">
        <f t="shared" si="60"/>
        <v>86835.015774532934</v>
      </c>
      <c r="E66" s="139">
        <f t="shared" si="70"/>
        <v>882166.14084890252</v>
      </c>
      <c r="F66" s="87">
        <f t="shared" si="61"/>
        <v>188881.44013427108</v>
      </c>
      <c r="G66" s="87">
        <f t="shared" si="71"/>
        <v>1918866.5958658217</v>
      </c>
      <c r="H66" s="87">
        <f t="shared" si="62"/>
        <v>343420.80024412915</v>
      </c>
      <c r="I66" s="87">
        <f t="shared" si="72"/>
        <v>3488848.3561196751</v>
      </c>
      <c r="J66" s="87">
        <f t="shared" si="63"/>
        <v>133239.46704122439</v>
      </c>
      <c r="K66" s="87">
        <f t="shared" si="73"/>
        <v>1353593.8860621883</v>
      </c>
      <c r="L66" s="87">
        <f t="shared" si="64"/>
        <v>242253.57643858981</v>
      </c>
      <c r="M66" s="87">
        <f t="shared" si="74"/>
        <v>2461079.792840343</v>
      </c>
      <c r="N66" s="82">
        <f t="shared" si="65"/>
        <v>128.7097267795917</v>
      </c>
      <c r="O66" s="82">
        <f t="shared" si="75"/>
        <v>1307.5757740136114</v>
      </c>
      <c r="P66" s="82">
        <f t="shared" si="66"/>
        <v>234.01768505380304</v>
      </c>
      <c r="Q66" s="139">
        <f t="shared" si="76"/>
        <v>2377.410498206566</v>
      </c>
      <c r="R66" s="82">
        <f t="shared" si="67"/>
        <v>14.251902346295916</v>
      </c>
      <c r="S66" s="139">
        <f t="shared" si="77"/>
        <v>144.78658845680289</v>
      </c>
      <c r="T66" s="82">
        <f t="shared" si="68"/>
        <v>25.912549720538028</v>
      </c>
      <c r="U66" s="155">
        <f t="shared" si="78"/>
        <v>263.2483426487326</v>
      </c>
    </row>
    <row r="67" spans="1:21" x14ac:dyDescent="0.25">
      <c r="A67">
        <v>10</v>
      </c>
      <c r="B67" s="137">
        <f t="shared" si="59"/>
        <v>46368.212306789435</v>
      </c>
      <c r="C67" s="85">
        <f t="shared" si="69"/>
        <v>531559.5897736859</v>
      </c>
      <c r="D67" s="137">
        <f t="shared" si="60"/>
        <v>84305.840557798962</v>
      </c>
      <c r="E67" s="139">
        <f t="shared" si="70"/>
        <v>966471.9814067015</v>
      </c>
      <c r="F67" s="87">
        <f t="shared" si="61"/>
        <v>183380.03896531172</v>
      </c>
      <c r="G67" s="87">
        <f t="shared" si="71"/>
        <v>2102246.6348311333</v>
      </c>
      <c r="H67" s="87">
        <f t="shared" si="62"/>
        <v>333418.25266420306</v>
      </c>
      <c r="I67" s="87">
        <f t="shared" si="72"/>
        <v>3822266.6087838784</v>
      </c>
      <c r="J67" s="87">
        <f t="shared" si="63"/>
        <v>129358.70586526638</v>
      </c>
      <c r="K67" s="87">
        <f t="shared" si="73"/>
        <v>1482952.5919274548</v>
      </c>
      <c r="L67" s="87">
        <f t="shared" si="64"/>
        <v>235197.64702775708</v>
      </c>
      <c r="M67" s="87">
        <f t="shared" si="74"/>
        <v>2696277.4398681</v>
      </c>
      <c r="N67" s="82">
        <f t="shared" si="65"/>
        <v>124.96089978601137</v>
      </c>
      <c r="O67" s="82">
        <f t="shared" si="75"/>
        <v>1432.5366737996228</v>
      </c>
      <c r="P67" s="82">
        <f t="shared" si="66"/>
        <v>227.20163597456605</v>
      </c>
      <c r="Q67" s="139">
        <f t="shared" si="76"/>
        <v>2604.6121341811322</v>
      </c>
      <c r="R67" s="82">
        <f t="shared" si="67"/>
        <v>13.836798394462054</v>
      </c>
      <c r="S67" s="139">
        <f t="shared" si="77"/>
        <v>158.62338685126494</v>
      </c>
      <c r="T67" s="82">
        <f t="shared" si="68"/>
        <v>25.157815262658282</v>
      </c>
      <c r="U67" s="155">
        <f t="shared" si="78"/>
        <v>288.40615791139089</v>
      </c>
    </row>
    <row r="69" spans="1:21" s="67" customFormat="1" ht="18.75" x14ac:dyDescent="0.3">
      <c r="A69" s="67" t="str">
        <f>Summary!B15</f>
        <v>Initial Exam</v>
      </c>
      <c r="B69" s="942" t="s">
        <v>150</v>
      </c>
      <c r="C69" s="942"/>
      <c r="D69" s="942"/>
      <c r="E69" s="942"/>
      <c r="F69" s="962" t="s">
        <v>152</v>
      </c>
      <c r="G69" s="962"/>
      <c r="H69" s="962"/>
      <c r="I69" s="962"/>
      <c r="J69" s="962"/>
      <c r="K69" s="962"/>
      <c r="L69" s="962"/>
      <c r="M69" s="962"/>
      <c r="N69" s="961" t="s">
        <v>151</v>
      </c>
      <c r="O69" s="961"/>
      <c r="P69" s="961"/>
      <c r="Q69" s="961"/>
      <c r="R69" s="961"/>
      <c r="S69" s="961"/>
      <c r="T69" s="961"/>
      <c r="U69" s="961"/>
    </row>
    <row r="70" spans="1:21" x14ac:dyDescent="0.25">
      <c r="A70" s="135" t="s">
        <v>58</v>
      </c>
      <c r="B70" t="s">
        <v>57</v>
      </c>
      <c r="C70" t="s">
        <v>61</v>
      </c>
      <c r="D70" t="s">
        <v>59</v>
      </c>
      <c r="E70" t="s">
        <v>61</v>
      </c>
      <c r="F70" t="s">
        <v>63</v>
      </c>
      <c r="G70" t="s">
        <v>61</v>
      </c>
      <c r="H70" t="s">
        <v>64</v>
      </c>
      <c r="I70" t="s">
        <v>61</v>
      </c>
      <c r="J70" t="s">
        <v>65</v>
      </c>
      <c r="K70" t="s">
        <v>61</v>
      </c>
      <c r="L70" t="s">
        <v>66</v>
      </c>
      <c r="M70" t="s">
        <v>67</v>
      </c>
      <c r="N70" t="s">
        <v>90</v>
      </c>
      <c r="O70" t="s">
        <v>89</v>
      </c>
      <c r="P70" t="s">
        <v>91</v>
      </c>
      <c r="Q70" t="s">
        <v>89</v>
      </c>
      <c r="R70" t="s">
        <v>92</v>
      </c>
      <c r="S70" t="s">
        <v>89</v>
      </c>
      <c r="T70" t="s">
        <v>66</v>
      </c>
      <c r="U70" t="s">
        <v>89</v>
      </c>
    </row>
    <row r="71" spans="1:21" x14ac:dyDescent="0.25">
      <c r="A71">
        <v>1</v>
      </c>
      <c r="B71" s="137">
        <f t="shared" ref="B71:B80" si="79">$B$13/(1+$E$3)^A71</f>
        <v>10534.718446601943</v>
      </c>
      <c r="C71" s="85">
        <f>B71</f>
        <v>10534.718446601943</v>
      </c>
      <c r="D71" s="137">
        <f t="shared" ref="D71:D80" si="80">$D$13/(1+$E$3)^A71</f>
        <v>37066.601941747576</v>
      </c>
      <c r="E71" s="85">
        <f>D71</f>
        <v>37066.601941747576</v>
      </c>
      <c r="F71" s="87">
        <f t="shared" ref="F71:F80" si="81">$F$13/(1+$E$3)^A71</f>
        <v>28672.499958371231</v>
      </c>
      <c r="G71" s="87">
        <f>F71</f>
        <v>28672.499958371231</v>
      </c>
      <c r="H71" s="87">
        <f t="shared" ref="H71:H80" si="82">$H$13/(1+$E$3)^A71</f>
        <v>354866.43466996483</v>
      </c>
      <c r="I71" s="87">
        <f>H71</f>
        <v>354866.43466996483</v>
      </c>
      <c r="J71" s="87">
        <f t="shared" ref="J71:J80" si="83">$J$13/(1+$E$3)^A71</f>
        <v>20225.960848652729</v>
      </c>
      <c r="K71" s="87">
        <f>J71</f>
        <v>20225.960848652729</v>
      </c>
      <c r="L71" s="87">
        <f t="shared" ref="L71:L80" si="84">$L$13/(1+$E$3)^A71</f>
        <v>250327.47840462177</v>
      </c>
      <c r="M71" s="87">
        <f>L71</f>
        <v>250327.47840462177</v>
      </c>
      <c r="N71" s="82">
        <f t="shared" ref="N71:N80" si="85">$N$13/(1+$E$3)^A71</f>
        <v>19.538339146008109</v>
      </c>
      <c r="O71" s="82">
        <f>N71</f>
        <v>19.538339146008109</v>
      </c>
      <c r="P71" s="82">
        <f t="shared" ref="P71:P80" si="86">$P$13/(1+$E$3)^A71</f>
        <v>241.81709868979169</v>
      </c>
      <c r="Q71" s="139">
        <f>P71</f>
        <v>241.81709868979169</v>
      </c>
      <c r="R71" s="82">
        <f t="shared" ref="R71:R80" si="87">$R$13/(1+$E$3)^A71</f>
        <v>2.1634612121783396</v>
      </c>
      <c r="S71" s="82">
        <f>R71</f>
        <v>2.1634612121783396</v>
      </c>
      <c r="T71" s="82">
        <f t="shared" ref="T71:T80" si="88">$T$13/(1+$E$3)^A71</f>
        <v>26.776171175417101</v>
      </c>
      <c r="U71" s="156">
        <f>T71</f>
        <v>26.776171175417101</v>
      </c>
    </row>
    <row r="72" spans="1:21" x14ac:dyDescent="0.25">
      <c r="A72">
        <v>2</v>
      </c>
      <c r="B72" s="137">
        <f t="shared" si="79"/>
        <v>10227.881986992177</v>
      </c>
      <c r="C72" s="85">
        <f>C71+B72</f>
        <v>20762.600433594118</v>
      </c>
      <c r="D72" s="137">
        <f t="shared" si="80"/>
        <v>35986.992176453961</v>
      </c>
      <c r="E72" s="85">
        <f>E71+D72</f>
        <v>73053.594118201538</v>
      </c>
      <c r="F72" s="87">
        <f t="shared" si="81"/>
        <v>27837.378600360422</v>
      </c>
      <c r="G72" s="87">
        <f>G71+F72</f>
        <v>56509.878558731652</v>
      </c>
      <c r="H72" s="87">
        <f t="shared" si="82"/>
        <v>344530.51909705327</v>
      </c>
      <c r="I72" s="87">
        <f>I71+H72</f>
        <v>699396.95376701816</v>
      </c>
      <c r="J72" s="87">
        <f t="shared" si="83"/>
        <v>19636.855192866729</v>
      </c>
      <c r="K72" s="87">
        <f>K71+J72</f>
        <v>39862.816041519458</v>
      </c>
      <c r="L72" s="87">
        <f t="shared" si="84"/>
        <v>243036.38680060365</v>
      </c>
      <c r="M72" s="87">
        <f>M71+L72</f>
        <v>493363.86520522542</v>
      </c>
      <c r="N72" s="82">
        <f t="shared" si="85"/>
        <v>18.96926130680399</v>
      </c>
      <c r="O72" s="82">
        <f>O71+N72</f>
        <v>38.507600452812099</v>
      </c>
      <c r="P72" s="82">
        <f t="shared" si="86"/>
        <v>234.77388222309872</v>
      </c>
      <c r="Q72" s="139">
        <f>Q71+P72</f>
        <v>476.59098091289042</v>
      </c>
      <c r="R72" s="82">
        <f t="shared" si="87"/>
        <v>2.1004477788139218</v>
      </c>
      <c r="S72" s="82">
        <f>S71+R72</f>
        <v>4.2639089909922614</v>
      </c>
      <c r="T72" s="82">
        <f t="shared" si="88"/>
        <v>25.996282694579712</v>
      </c>
      <c r="U72" s="156">
        <f>U71+T72</f>
        <v>52.772453869996809</v>
      </c>
    </row>
    <row r="73" spans="1:21" x14ac:dyDescent="0.25">
      <c r="A73">
        <v>3</v>
      </c>
      <c r="B73" s="137">
        <f t="shared" si="79"/>
        <v>9929.9825116428892</v>
      </c>
      <c r="C73" s="85">
        <f t="shared" ref="C73:C80" si="89">C72+B73</f>
        <v>30692.582945237009</v>
      </c>
      <c r="D73" s="137">
        <f t="shared" si="80"/>
        <v>34938.827355780544</v>
      </c>
      <c r="E73" s="85">
        <f t="shared" ref="E73:E80" si="90">E72+D73</f>
        <v>107992.42147398207</v>
      </c>
      <c r="F73" s="87">
        <f t="shared" si="81"/>
        <v>27026.581165398467</v>
      </c>
      <c r="G73" s="87">
        <f t="shared" ref="G73:G80" si="91">G72+F73</f>
        <v>83536.459724130124</v>
      </c>
      <c r="H73" s="87">
        <f t="shared" si="82"/>
        <v>334495.64960878959</v>
      </c>
      <c r="I73" s="87">
        <f t="shared" ref="I73:I80" si="92">I72+H73</f>
        <v>1033892.6033758078</v>
      </c>
      <c r="J73" s="87">
        <f t="shared" si="83"/>
        <v>19064.907954239541</v>
      </c>
      <c r="K73" s="87">
        <f t="shared" ref="K73:K80" si="93">K72+J73</f>
        <v>58927.723995758999</v>
      </c>
      <c r="L73" s="87">
        <f t="shared" si="84"/>
        <v>235957.6570879647</v>
      </c>
      <c r="M73" s="87">
        <f t="shared" ref="M73:M80" si="94">M72+L73</f>
        <v>729321.52229319012</v>
      </c>
      <c r="N73" s="82">
        <f t="shared" si="85"/>
        <v>18.416758550295135</v>
      </c>
      <c r="O73" s="82">
        <f t="shared" ref="O73:O80" si="95">O72+N73</f>
        <v>56.924359003107234</v>
      </c>
      <c r="P73" s="82">
        <f t="shared" si="86"/>
        <v>227.93580798359099</v>
      </c>
      <c r="Q73" s="139">
        <f t="shared" ref="Q73:Q80" si="96">Q72+P73</f>
        <v>704.52678889648143</v>
      </c>
      <c r="R73" s="82">
        <f t="shared" si="87"/>
        <v>2.0392696881688561</v>
      </c>
      <c r="S73" s="139">
        <f t="shared" ref="S73:S80" si="97">S72+R73</f>
        <v>6.3031786791611175</v>
      </c>
      <c r="T73" s="82">
        <f t="shared" si="88"/>
        <v>25.23910941221331</v>
      </c>
      <c r="U73" s="155">
        <f t="shared" ref="U73:U80" si="98">U72+T73</f>
        <v>78.011563282210119</v>
      </c>
    </row>
    <row r="74" spans="1:21" x14ac:dyDescent="0.25">
      <c r="A74">
        <v>4</v>
      </c>
      <c r="B74" s="137">
        <f t="shared" si="79"/>
        <v>9640.7597200416421</v>
      </c>
      <c r="C74" s="85">
        <f t="shared" si="89"/>
        <v>40333.342665278651</v>
      </c>
      <c r="D74" s="137">
        <f t="shared" si="80"/>
        <v>33921.191607553927</v>
      </c>
      <c r="E74" s="85">
        <f t="shared" si="90"/>
        <v>141913.61308153599</v>
      </c>
      <c r="F74" s="87">
        <f t="shared" si="81"/>
        <v>26239.399189707252</v>
      </c>
      <c r="G74" s="87">
        <f t="shared" si="91"/>
        <v>109775.85891383738</v>
      </c>
      <c r="H74" s="87">
        <f t="shared" si="82"/>
        <v>324753.05787261127</v>
      </c>
      <c r="I74" s="87">
        <f t="shared" si="92"/>
        <v>1358645.661248419</v>
      </c>
      <c r="J74" s="87">
        <f t="shared" si="83"/>
        <v>18509.619373048099</v>
      </c>
      <c r="K74" s="87">
        <f t="shared" si="93"/>
        <v>77437.343368807095</v>
      </c>
      <c r="L74" s="87">
        <f t="shared" si="84"/>
        <v>229085.10396889781</v>
      </c>
      <c r="M74" s="87">
        <f t="shared" si="94"/>
        <v>958406.62626208796</v>
      </c>
      <c r="N74" s="82">
        <f t="shared" si="85"/>
        <v>17.880348107082657</v>
      </c>
      <c r="O74" s="82">
        <f t="shared" si="95"/>
        <v>74.804707110189895</v>
      </c>
      <c r="P74" s="82">
        <f t="shared" si="86"/>
        <v>221.29690095494274</v>
      </c>
      <c r="Q74" s="139">
        <f t="shared" si="96"/>
        <v>925.82368985142421</v>
      </c>
      <c r="R74" s="82">
        <f t="shared" si="87"/>
        <v>1.9798734836590839</v>
      </c>
      <c r="S74" s="139">
        <f t="shared" si="97"/>
        <v>8.2830521628202014</v>
      </c>
      <c r="T74" s="82">
        <f t="shared" si="88"/>
        <v>24.503989720595449</v>
      </c>
      <c r="U74" s="155">
        <f t="shared" si="98"/>
        <v>102.51555300280558</v>
      </c>
    </row>
    <row r="75" spans="1:21" x14ac:dyDescent="0.25">
      <c r="A75">
        <v>5</v>
      </c>
      <c r="B75" s="137">
        <f t="shared" si="79"/>
        <v>9359.9608932443134</v>
      </c>
      <c r="C75" s="85">
        <f t="shared" si="89"/>
        <v>49693.303558522966</v>
      </c>
      <c r="D75" s="137">
        <f t="shared" si="80"/>
        <v>32933.195735489251</v>
      </c>
      <c r="E75" s="85">
        <f t="shared" si="90"/>
        <v>174846.80881702524</v>
      </c>
      <c r="F75" s="87">
        <f t="shared" si="81"/>
        <v>25475.144844375973</v>
      </c>
      <c r="G75" s="87">
        <f t="shared" si="91"/>
        <v>135251.00375821337</v>
      </c>
      <c r="H75" s="87">
        <f t="shared" si="82"/>
        <v>315294.23094428278</v>
      </c>
      <c r="I75" s="87">
        <f t="shared" si="92"/>
        <v>1673939.8921927018</v>
      </c>
      <c r="J75" s="87">
        <f t="shared" si="83"/>
        <v>17970.50424567777</v>
      </c>
      <c r="K75" s="87">
        <f t="shared" si="93"/>
        <v>95407.847614484868</v>
      </c>
      <c r="L75" s="87">
        <f t="shared" si="84"/>
        <v>222412.72229990078</v>
      </c>
      <c r="M75" s="87">
        <f t="shared" si="94"/>
        <v>1180819.3485619887</v>
      </c>
      <c r="N75" s="82">
        <f t="shared" si="85"/>
        <v>17.359561269012289</v>
      </c>
      <c r="O75" s="82">
        <f t="shared" si="95"/>
        <v>92.164268379202184</v>
      </c>
      <c r="P75" s="82">
        <f t="shared" si="86"/>
        <v>214.85136015042985</v>
      </c>
      <c r="Q75" s="139">
        <f t="shared" si="96"/>
        <v>1140.6750500018541</v>
      </c>
      <c r="R75" s="82">
        <f t="shared" si="87"/>
        <v>1.922207265688431</v>
      </c>
      <c r="S75" s="139">
        <f t="shared" si="97"/>
        <v>10.205259428508633</v>
      </c>
      <c r="T75" s="82">
        <f t="shared" si="88"/>
        <v>23.790281282131506</v>
      </c>
      <c r="U75" s="155">
        <f t="shared" si="98"/>
        <v>126.30583428493708</v>
      </c>
    </row>
    <row r="76" spans="1:21" x14ac:dyDescent="0.25">
      <c r="A76">
        <v>6</v>
      </c>
      <c r="B76" s="137">
        <f t="shared" si="79"/>
        <v>9087.3406730527295</v>
      </c>
      <c r="C76" s="85">
        <f t="shared" si="89"/>
        <v>58780.644231575694</v>
      </c>
      <c r="D76" s="137">
        <f t="shared" si="80"/>
        <v>31973.976442222574</v>
      </c>
      <c r="E76" s="85">
        <f t="shared" si="90"/>
        <v>206820.78525924782</v>
      </c>
      <c r="F76" s="87">
        <f t="shared" si="81"/>
        <v>24733.150334345602</v>
      </c>
      <c r="G76" s="87">
        <f t="shared" si="91"/>
        <v>159984.15409255898</v>
      </c>
      <c r="H76" s="87">
        <f t="shared" si="82"/>
        <v>306110.90382940078</v>
      </c>
      <c r="I76" s="87">
        <f t="shared" si="92"/>
        <v>1980050.7960221027</v>
      </c>
      <c r="J76" s="87">
        <f t="shared" si="83"/>
        <v>17447.091500658025</v>
      </c>
      <c r="K76" s="87">
        <f t="shared" si="93"/>
        <v>112854.93911514289</v>
      </c>
      <c r="L76" s="87">
        <f t="shared" si="84"/>
        <v>215934.68184456386</v>
      </c>
      <c r="M76" s="87">
        <f t="shared" si="94"/>
        <v>1396754.0304065526</v>
      </c>
      <c r="N76" s="82">
        <f t="shared" si="85"/>
        <v>16.853942979623582</v>
      </c>
      <c r="O76" s="82">
        <f t="shared" si="95"/>
        <v>109.01821135882577</v>
      </c>
      <c r="P76" s="82">
        <f t="shared" si="86"/>
        <v>208.59355354410664</v>
      </c>
      <c r="Q76" s="139">
        <f t="shared" si="96"/>
        <v>1349.2686035459608</v>
      </c>
      <c r="R76" s="82">
        <f t="shared" si="87"/>
        <v>1.8662206462994475</v>
      </c>
      <c r="S76" s="139">
        <f t="shared" si="97"/>
        <v>12.071480074808081</v>
      </c>
      <c r="T76" s="82">
        <f t="shared" si="88"/>
        <v>23.097360468088837</v>
      </c>
      <c r="U76" s="155">
        <f t="shared" si="98"/>
        <v>149.4031947530259</v>
      </c>
    </row>
    <row r="77" spans="1:21" x14ac:dyDescent="0.25">
      <c r="A77">
        <v>7</v>
      </c>
      <c r="B77" s="137">
        <f t="shared" si="79"/>
        <v>8822.660847624009</v>
      </c>
      <c r="C77" s="85">
        <f t="shared" si="89"/>
        <v>67603.305079199708</v>
      </c>
      <c r="D77" s="137">
        <f t="shared" si="80"/>
        <v>31042.695574973372</v>
      </c>
      <c r="E77" s="85">
        <f t="shared" si="90"/>
        <v>237863.48083422118</v>
      </c>
      <c r="F77" s="87">
        <f t="shared" si="81"/>
        <v>24012.767314898643</v>
      </c>
      <c r="G77" s="87">
        <f t="shared" si="91"/>
        <v>183996.92140745762</v>
      </c>
      <c r="H77" s="87">
        <f t="shared" si="82"/>
        <v>297195.05226155411</v>
      </c>
      <c r="I77" s="87">
        <f t="shared" si="92"/>
        <v>2277245.8482836569</v>
      </c>
      <c r="J77" s="87">
        <f t="shared" si="83"/>
        <v>16938.923787046628</v>
      </c>
      <c r="K77" s="87">
        <f t="shared" si="93"/>
        <v>129793.86290218952</v>
      </c>
      <c r="L77" s="87">
        <f t="shared" si="84"/>
        <v>209645.3221791882</v>
      </c>
      <c r="M77" s="87">
        <f t="shared" si="94"/>
        <v>1606399.3525857409</v>
      </c>
      <c r="N77" s="82">
        <f t="shared" si="85"/>
        <v>16.363051436527748</v>
      </c>
      <c r="O77" s="82">
        <f t="shared" si="95"/>
        <v>125.38126279535351</v>
      </c>
      <c r="P77" s="82">
        <f t="shared" si="86"/>
        <v>202.51801314961807</v>
      </c>
      <c r="Q77" s="139">
        <f t="shared" si="96"/>
        <v>1551.7866166955789</v>
      </c>
      <c r="R77" s="82">
        <f t="shared" si="87"/>
        <v>1.8118647051450945</v>
      </c>
      <c r="S77" s="139">
        <f t="shared" si="97"/>
        <v>13.883344779953175</v>
      </c>
      <c r="T77" s="82">
        <f t="shared" si="88"/>
        <v>22.424621813678481</v>
      </c>
      <c r="U77" s="155">
        <f t="shared" si="98"/>
        <v>171.82781656670437</v>
      </c>
    </row>
    <row r="78" spans="1:21" x14ac:dyDescent="0.25">
      <c r="A78">
        <v>8</v>
      </c>
      <c r="B78" s="137">
        <f t="shared" si="79"/>
        <v>8565.690143324282</v>
      </c>
      <c r="C78" s="85">
        <f t="shared" si="89"/>
        <v>76168.995222523983</v>
      </c>
      <c r="D78" s="137">
        <f t="shared" si="80"/>
        <v>30138.539393178035</v>
      </c>
      <c r="E78" s="85">
        <f t="shared" si="90"/>
        <v>268002.02022739919</v>
      </c>
      <c r="F78" s="87">
        <f t="shared" si="81"/>
        <v>23313.366325144318</v>
      </c>
      <c r="G78" s="87">
        <f t="shared" si="91"/>
        <v>207310.28773260192</v>
      </c>
      <c r="H78" s="87">
        <f t="shared" si="82"/>
        <v>288538.88569082925</v>
      </c>
      <c r="I78" s="87">
        <f t="shared" si="92"/>
        <v>2565784.7339744861</v>
      </c>
      <c r="J78" s="87">
        <f t="shared" si="83"/>
        <v>16445.557074802553</v>
      </c>
      <c r="K78" s="87">
        <f t="shared" si="93"/>
        <v>146239.41997699207</v>
      </c>
      <c r="L78" s="87">
        <f t="shared" si="84"/>
        <v>203539.14774678467</v>
      </c>
      <c r="M78" s="87">
        <f t="shared" si="94"/>
        <v>1809938.5003325255</v>
      </c>
      <c r="N78" s="82">
        <f t="shared" si="85"/>
        <v>15.886457705366748</v>
      </c>
      <c r="O78" s="82">
        <f t="shared" si="95"/>
        <v>141.26772050072026</v>
      </c>
      <c r="P78" s="82">
        <f t="shared" si="86"/>
        <v>196.61943024234768</v>
      </c>
      <c r="Q78" s="139">
        <f t="shared" si="96"/>
        <v>1748.4060469379265</v>
      </c>
      <c r="R78" s="82">
        <f t="shared" si="87"/>
        <v>1.7590919467428103</v>
      </c>
      <c r="S78" s="139">
        <f t="shared" si="97"/>
        <v>15.642436726695985</v>
      </c>
      <c r="T78" s="82">
        <f t="shared" si="88"/>
        <v>21.771477489008237</v>
      </c>
      <c r="U78" s="155">
        <f t="shared" si="98"/>
        <v>193.59929405571262</v>
      </c>
    </row>
    <row r="79" spans="1:21" x14ac:dyDescent="0.25">
      <c r="A79">
        <v>9</v>
      </c>
      <c r="B79" s="137">
        <f t="shared" si="79"/>
        <v>8316.2040226449335</v>
      </c>
      <c r="C79" s="85">
        <f t="shared" si="89"/>
        <v>84485.199245168915</v>
      </c>
      <c r="D79" s="137">
        <f t="shared" si="80"/>
        <v>29260.717857454401</v>
      </c>
      <c r="E79" s="85">
        <f t="shared" si="90"/>
        <v>297262.73808485357</v>
      </c>
      <c r="F79" s="87">
        <f t="shared" si="81"/>
        <v>22634.336238004191</v>
      </c>
      <c r="G79" s="87">
        <f t="shared" si="91"/>
        <v>229944.6239706061</v>
      </c>
      <c r="H79" s="87">
        <f t="shared" si="82"/>
        <v>280134.84047653328</v>
      </c>
      <c r="I79" s="87">
        <f t="shared" si="92"/>
        <v>2845919.5744510195</v>
      </c>
      <c r="J79" s="87">
        <f t="shared" si="83"/>
        <v>15966.560266798593</v>
      </c>
      <c r="K79" s="87">
        <f t="shared" si="93"/>
        <v>162205.98024379066</v>
      </c>
      <c r="L79" s="87">
        <f t="shared" si="84"/>
        <v>197610.82305513075</v>
      </c>
      <c r="M79" s="87">
        <f t="shared" si="94"/>
        <v>2007549.3233876561</v>
      </c>
      <c r="N79" s="82">
        <f t="shared" si="85"/>
        <v>15.423745345016259</v>
      </c>
      <c r="O79" s="82">
        <f t="shared" si="95"/>
        <v>156.69146584573653</v>
      </c>
      <c r="P79" s="82">
        <f t="shared" si="86"/>
        <v>190.8926507207259</v>
      </c>
      <c r="Q79" s="139">
        <f t="shared" si="96"/>
        <v>1939.2986976586524</v>
      </c>
      <c r="R79" s="82">
        <f t="shared" si="87"/>
        <v>1.7078562589736022</v>
      </c>
      <c r="S79" s="139">
        <f t="shared" si="97"/>
        <v>17.350292985669586</v>
      </c>
      <c r="T79" s="82">
        <f t="shared" si="88"/>
        <v>21.13735678544489</v>
      </c>
      <c r="U79" s="155">
        <f t="shared" si="98"/>
        <v>214.73665084115751</v>
      </c>
    </row>
    <row r="80" spans="1:21" x14ac:dyDescent="0.25">
      <c r="A80">
        <v>10</v>
      </c>
      <c r="B80" s="137">
        <f t="shared" si="79"/>
        <v>8073.9844880047904</v>
      </c>
      <c r="C80" s="85">
        <f t="shared" si="89"/>
        <v>92559.183733173704</v>
      </c>
      <c r="D80" s="137">
        <f t="shared" si="80"/>
        <v>28408.463939276116</v>
      </c>
      <c r="E80" s="85">
        <f t="shared" si="90"/>
        <v>325671.20202412969</v>
      </c>
      <c r="F80" s="87">
        <f t="shared" si="81"/>
        <v>21975.083726217661</v>
      </c>
      <c r="G80" s="87">
        <f t="shared" si="91"/>
        <v>251919.70769682375</v>
      </c>
      <c r="H80" s="87">
        <f t="shared" si="82"/>
        <v>271975.57327818766</v>
      </c>
      <c r="I80" s="87">
        <f t="shared" si="92"/>
        <v>3117895.1477292073</v>
      </c>
      <c r="J80" s="87">
        <f t="shared" si="83"/>
        <v>15501.514822134557</v>
      </c>
      <c r="K80" s="87">
        <f t="shared" si="93"/>
        <v>177707.49506592521</v>
      </c>
      <c r="L80" s="87">
        <f t="shared" si="84"/>
        <v>191855.16801469005</v>
      </c>
      <c r="M80" s="87">
        <f t="shared" si="94"/>
        <v>2199404.4914023462</v>
      </c>
      <c r="N80" s="82">
        <f t="shared" si="85"/>
        <v>14.974510043705106</v>
      </c>
      <c r="O80" s="82">
        <f t="shared" si="95"/>
        <v>171.66597588944163</v>
      </c>
      <c r="P80" s="82">
        <f t="shared" si="86"/>
        <v>185.33267060264649</v>
      </c>
      <c r="Q80" s="139">
        <f t="shared" si="96"/>
        <v>2124.631368261299</v>
      </c>
      <c r="R80" s="82">
        <f t="shared" si="87"/>
        <v>1.658112872789905</v>
      </c>
      <c r="S80" s="139">
        <f t="shared" si="97"/>
        <v>19.00840585845949</v>
      </c>
      <c r="T80" s="82">
        <f t="shared" si="88"/>
        <v>20.521705616936789</v>
      </c>
      <c r="U80" s="155">
        <f t="shared" si="98"/>
        <v>235.25835645809431</v>
      </c>
    </row>
  </sheetData>
  <mergeCells count="23">
    <mergeCell ref="B1:J2"/>
    <mergeCell ref="N7:U7"/>
    <mergeCell ref="B42:E42"/>
    <mergeCell ref="N29:U29"/>
    <mergeCell ref="N42:U42"/>
    <mergeCell ref="F29:M29"/>
    <mergeCell ref="F42:M42"/>
    <mergeCell ref="N8:O8"/>
    <mergeCell ref="B16:E16"/>
    <mergeCell ref="F16:M16"/>
    <mergeCell ref="N16:U16"/>
    <mergeCell ref="B29:E29"/>
    <mergeCell ref="P8:Q8"/>
    <mergeCell ref="R8:S8"/>
    <mergeCell ref="T8:U8"/>
    <mergeCell ref="B7:E7"/>
    <mergeCell ref="F7:M7"/>
    <mergeCell ref="N56:U56"/>
    <mergeCell ref="N69:U69"/>
    <mergeCell ref="B56:E56"/>
    <mergeCell ref="B69:E69"/>
    <mergeCell ref="F56:M56"/>
    <mergeCell ref="F69:M69"/>
  </mergeCells>
  <pageMargins left="0.7" right="0.7" top="0.75" bottom="0.75" header="0.3" footer="0.3"/>
  <pageSetup orientation="portrait" r:id="rId1"/>
  <ignoredErrors>
    <ignoredError sqref="C19:C20 D18 D32:D40 D44:D53 D71:D80 D58:D67 F18:P27 D19:D27 F31:P40 F44:R53 F58:R67 F71:R80" formula="1"/>
  </ignoredError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U79"/>
  <sheetViews>
    <sheetView topLeftCell="D1" workbookViewId="0">
      <selection activeCell="J38" sqref="J38"/>
    </sheetView>
  </sheetViews>
  <sheetFormatPr defaultRowHeight="15" x14ac:dyDescent="0.25"/>
  <cols>
    <col min="1" max="1" width="17.28515625" customWidth="1"/>
    <col min="2" max="3" width="13.5703125" customWidth="1"/>
    <col min="4" max="5" width="15.7109375" customWidth="1"/>
    <col min="6" max="6" width="17" customWidth="1"/>
    <col min="7" max="7" width="15" customWidth="1"/>
    <col min="8" max="8" width="14.140625" customWidth="1"/>
    <col min="9" max="9" width="13.42578125" customWidth="1"/>
    <col min="10" max="10" width="15.7109375" customWidth="1"/>
    <col min="11" max="11" width="13.85546875" customWidth="1"/>
    <col min="12" max="12" width="12.5703125" bestFit="1" customWidth="1"/>
    <col min="13" max="13" width="12.85546875" customWidth="1"/>
    <col min="14" max="14" width="13.7109375" customWidth="1"/>
    <col min="18" max="18" width="11.42578125" customWidth="1"/>
    <col min="21" max="21" width="10.5703125" bestFit="1" customWidth="1"/>
  </cols>
  <sheetData>
    <row r="1" spans="1:21" s="67" customFormat="1" x14ac:dyDescent="0.25">
      <c r="B1" s="963" t="s">
        <v>141</v>
      </c>
      <c r="C1" s="964"/>
      <c r="D1" s="964"/>
      <c r="E1" s="964"/>
      <c r="F1" s="964"/>
      <c r="G1" s="964"/>
      <c r="H1" s="964"/>
      <c r="I1" s="964"/>
      <c r="J1" s="964"/>
    </row>
    <row r="2" spans="1:21" s="67" customFormat="1" x14ac:dyDescent="0.25">
      <c r="B2" s="964"/>
      <c r="C2" s="964"/>
      <c r="D2" s="964"/>
      <c r="E2" s="964"/>
      <c r="F2" s="964"/>
      <c r="G2" s="964"/>
      <c r="H2" s="964"/>
      <c r="I2" s="964"/>
      <c r="J2" s="964"/>
    </row>
    <row r="3" spans="1:21" x14ac:dyDescent="0.25">
      <c r="D3" t="s">
        <v>33</v>
      </c>
      <c r="E3" s="80">
        <f>Summary!K6</f>
        <v>0.03</v>
      </c>
      <c r="G3" t="s">
        <v>34</v>
      </c>
      <c r="H3" s="82">
        <f>Summary!I6</f>
        <v>10</v>
      </c>
      <c r="K3" t="s">
        <v>433</v>
      </c>
      <c r="M3" s="503">
        <f>Discounting!L3</f>
        <v>7.7340425531914896</v>
      </c>
      <c r="Q3" t="s">
        <v>356</v>
      </c>
    </row>
    <row r="4" spans="1:21" x14ac:dyDescent="0.25">
      <c r="E4" s="80"/>
      <c r="H4" s="82"/>
      <c r="K4" t="s">
        <v>344</v>
      </c>
      <c r="M4" s="635">
        <f>161/2575</f>
        <v>6.2524271844660195E-2</v>
      </c>
      <c r="Q4" s="634">
        <f>Discounting!Q4</f>
        <v>7.3009708737864082E-2</v>
      </c>
    </row>
    <row r="5" spans="1:21" x14ac:dyDescent="0.25">
      <c r="E5" s="136" t="s">
        <v>60</v>
      </c>
      <c r="G5" t="s">
        <v>347</v>
      </c>
      <c r="H5" s="87">
        <f>Discounting!H5</f>
        <v>1467.4993480307833</v>
      </c>
      <c r="I5" t="s">
        <v>190</v>
      </c>
      <c r="J5" s="142">
        <f>Discounting!J5</f>
        <v>9348.8899799999999</v>
      </c>
      <c r="N5" s="136" t="s">
        <v>60</v>
      </c>
    </row>
    <row r="6" spans="1:21" x14ac:dyDescent="0.25">
      <c r="E6" s="80"/>
      <c r="H6" s="82"/>
    </row>
    <row r="7" spans="1:21" ht="15.75" x14ac:dyDescent="0.25">
      <c r="B7" s="958" t="s">
        <v>191</v>
      </c>
      <c r="C7" s="958"/>
      <c r="D7" s="958"/>
      <c r="E7" s="958"/>
      <c r="F7" s="960" t="s">
        <v>358</v>
      </c>
      <c r="G7" s="960"/>
      <c r="H7" s="960"/>
      <c r="I7" s="960"/>
      <c r="J7" s="960"/>
      <c r="K7" s="960"/>
      <c r="L7" s="960"/>
      <c r="M7" s="376"/>
      <c r="N7" s="965" t="s">
        <v>354</v>
      </c>
      <c r="O7" s="965"/>
      <c r="P7" s="965"/>
      <c r="Q7" s="965"/>
      <c r="R7" s="965"/>
      <c r="S7" s="965"/>
      <c r="T7" s="965"/>
      <c r="U7" s="965"/>
    </row>
    <row r="8" spans="1:21" s="150" customFormat="1" ht="15.75" thickBot="1" x14ac:dyDescent="0.3">
      <c r="B8" s="150" t="s">
        <v>55</v>
      </c>
      <c r="C8" s="151" t="s">
        <v>81</v>
      </c>
      <c r="D8" s="150" t="s">
        <v>56</v>
      </c>
      <c r="E8" s="151" t="s">
        <v>81</v>
      </c>
      <c r="F8" s="150" t="s">
        <v>350</v>
      </c>
      <c r="H8" s="150" t="s">
        <v>353</v>
      </c>
      <c r="J8" s="150" t="s">
        <v>65</v>
      </c>
      <c r="L8" s="150" t="s">
        <v>66</v>
      </c>
      <c r="N8" s="969" t="s">
        <v>87</v>
      </c>
      <c r="O8" s="969"/>
      <c r="P8" s="969" t="s">
        <v>88</v>
      </c>
      <c r="Q8" s="969"/>
      <c r="R8" s="969" t="s">
        <v>65</v>
      </c>
      <c r="S8" s="969"/>
      <c r="T8" s="968" t="s">
        <v>66</v>
      </c>
      <c r="U8" s="968"/>
    </row>
    <row r="9" spans="1:21" ht="31.5" thickTop="1" thickBot="1" x14ac:dyDescent="0.3">
      <c r="A9" s="86" t="str">
        <f>Prevention!E10</f>
        <v>Water Fluoridation</v>
      </c>
      <c r="B9" s="83">
        <f>Fluoridation!L9</f>
        <v>18125</v>
      </c>
      <c r="C9" s="148">
        <f>Fluoridation!K9*Fluoridation!D12</f>
        <v>18125</v>
      </c>
      <c r="D9" s="83">
        <f>Fluoridation!M9</f>
        <v>200280</v>
      </c>
      <c r="E9" s="84">
        <f>Fluoridation!K9*Fluoridation!E12</f>
        <v>79750</v>
      </c>
      <c r="F9" s="552">
        <f>(Summary!C11*Discounting_Ideal!$Q$4*$M$3*Effectiveness!G7)*$H$5</f>
        <v>269431.79748339887</v>
      </c>
      <c r="G9" s="87"/>
      <c r="H9" s="87">
        <f>(Summary!D11*Discounting_Ideal!$Q$4*$M$3*Effectiveness!G7)*Discounting_Ideal!$H$5</f>
        <v>510151.27209181769</v>
      </c>
      <c r="I9" s="87"/>
      <c r="J9" s="87">
        <f>(Summary!C11*Discounting_Ideal!$M$4*Effectiveness!G7)*$J$5</f>
        <v>190060.75491126874</v>
      </c>
      <c r="K9" s="87"/>
      <c r="L9" s="87">
        <f>(Summary!D11*Discounting_Ideal!$M$4*Effectiveness!G7)*$J$5</f>
        <v>359867.45736159495</v>
      </c>
      <c r="N9" s="240"/>
      <c r="O9" s="240">
        <f>(Summary!C11*$Q$4)*Discounting_Ideal!$M$3*Effectiveness!G7</f>
        <v>183.59926213592232</v>
      </c>
      <c r="P9" s="240"/>
      <c r="Q9" s="240">
        <f>(Summary!D11*$Q$4)*Discounting_Ideal!$M$3*Effectiveness!G7</f>
        <v>347.63304854368931</v>
      </c>
      <c r="R9" s="240"/>
      <c r="S9" s="240">
        <f>Summary!C11*$M$4*Effectiveness!G7</f>
        <v>20.329766990291262</v>
      </c>
      <c r="T9" s="241"/>
      <c r="U9" s="241">
        <f>Summary!D11*$M$4*Effectiveness!G7</f>
        <v>38.493067961165046</v>
      </c>
    </row>
    <row r="10" spans="1:21" ht="16.5" thickTop="1" thickBot="1" x14ac:dyDescent="0.3">
      <c r="A10" t="str">
        <f>Prevention!E11</f>
        <v>Dental Sealants</v>
      </c>
      <c r="B10" s="83">
        <f>Sealants!M14</f>
        <v>12420</v>
      </c>
      <c r="D10" s="83">
        <f>Sealants!N14</f>
        <v>226938.23999999999</v>
      </c>
      <c r="E10" s="84"/>
      <c r="F10" s="552">
        <f>(Summary!C12*Discounting_Ideal!$Q$4*$M$3*Effectiveness!G8)*$H$5</f>
        <v>161584.50102802643</v>
      </c>
      <c r="G10" s="87"/>
      <c r="H10" s="87">
        <f>(Summary!D12*Discounting_Ideal!$Q$4*$M$3*Effectiveness!G8)*Discounting_Ideal!$H$5</f>
        <v>1664320.3605886721</v>
      </c>
      <c r="I10" s="87"/>
      <c r="J10" s="87">
        <f>(Summary!C12*Discounting_Ideal!$M$4*(Effectiveness!G8*8/28))*$J$5</f>
        <v>32566.812862368934</v>
      </c>
      <c r="K10" s="87"/>
      <c r="L10" s="87">
        <f>(Summary!D12*Discounting_Ideal!$M$4*(Effectiveness!G8*8/28))*$J$5</f>
        <v>335438.17248240003</v>
      </c>
      <c r="N10" s="242"/>
      <c r="O10" s="240">
        <f>((Summary!C12*$Q$4)*Discounting_Ideal!$M$3)*(Effectiveness!G8*8/20)</f>
        <v>44.043495145631077</v>
      </c>
      <c r="P10" s="240"/>
      <c r="Q10" s="240">
        <f>((Summary!D12*Discounting_Ideal!$Q$4)*(Discounting_Ideal!$M$3))*(Effectiveness!G8*8/20)</f>
        <v>453.64800000000002</v>
      </c>
      <c r="R10" s="240"/>
      <c r="S10" s="240">
        <f>(Summary!C12*$M$4)*(Effectiveness!G8*8/20)</f>
        <v>4.8768932038834958</v>
      </c>
      <c r="T10" s="241"/>
      <c r="U10" s="241">
        <f>(Summary!D12*$M$4)*(Effectiveness!G8*8/20)</f>
        <v>50.231999999999999</v>
      </c>
    </row>
    <row r="11" spans="1:21" ht="16.5" thickTop="1" thickBot="1" x14ac:dyDescent="0.3">
      <c r="A11" t="str">
        <f>Prevention!E12</f>
        <v>Fluoride Varnish</v>
      </c>
      <c r="B11" s="83">
        <f>Varnish!K14</f>
        <v>62923.154999999999</v>
      </c>
      <c r="D11" s="83">
        <f>Varnish!L14</f>
        <v>146775</v>
      </c>
      <c r="E11" s="84"/>
      <c r="F11" s="552">
        <f>(Summary!C13*Discounting_Ideal!$Q$4*$M$3*Effectiveness!G9)*$H$5</f>
        <v>260722.8071972217</v>
      </c>
      <c r="G11" s="87"/>
      <c r="H11" s="87">
        <f>(Summary!D13*Discounting_Ideal!$Q$4*$M$3*Effectiveness!G9)*Discounting_Ideal!$H$5</f>
        <v>512098.5724888221</v>
      </c>
      <c r="I11" s="87"/>
      <c r="J11" s="87">
        <f>(Summary!C13*Discounting_Ideal!$M$4*Effectiveness!G9)*$J$5</f>
        <v>183917.31793105212</v>
      </c>
      <c r="K11" s="87"/>
      <c r="L11" s="87">
        <f>(Summary!D13*Discounting_Ideal!$M$4*Effectiveness!G9)*$J$5</f>
        <v>361241.10882720002</v>
      </c>
      <c r="N11" s="240"/>
      <c r="O11" s="240">
        <f>(Summary!C13*$Q$4)*Discounting_Ideal!$M$3*Effectiveness!G9</f>
        <v>177.66468349514565</v>
      </c>
      <c r="P11" s="240"/>
      <c r="Q11" s="240">
        <f>(Summary!D13*Discounting_Ideal!$Q$4)*(Discounting_Ideal!$M$3)*(Effectiveness!G9)</f>
        <v>348.96</v>
      </c>
      <c r="R11" s="240"/>
      <c r="S11" s="240">
        <f>Summary!C13*$M$4*Effectiveness!G9</f>
        <v>19.672636893203883</v>
      </c>
      <c r="T11" s="241"/>
      <c r="U11" s="241">
        <f>Summary!D13*$M$4*Effectiveness!G9</f>
        <v>38.64</v>
      </c>
    </row>
    <row r="12" spans="1:21" ht="16.5" thickTop="1" thickBot="1" x14ac:dyDescent="0.3">
      <c r="A12" t="str">
        <f>Prevention!E13</f>
        <v>Toothbrush/      Toothpaste</v>
      </c>
      <c r="B12" s="83">
        <f>Toothbrushes!L9</f>
        <v>62315.000000000007</v>
      </c>
      <c r="D12" s="83">
        <f>Toothbrushes!M9</f>
        <v>113300</v>
      </c>
      <c r="E12" s="84"/>
      <c r="F12" s="552">
        <f>(Summary!C14*Discounting_Ideal!$Q$4*$M$3*Effectiveness!G10)*$H$5</f>
        <v>328596.58401366096</v>
      </c>
      <c r="G12" s="87"/>
      <c r="H12" s="87">
        <f>(Summary!D14*Discounting_Ideal!$Q$4*$M$3*Effectiveness!G10)*Discounting_Ideal!$H$5</f>
        <v>597448.33457029262</v>
      </c>
      <c r="I12" s="87"/>
      <c r="J12" s="87">
        <f>(Summary!C14*Discounting_Ideal!$M$4*Effectiveness!G10)*$J$5</f>
        <v>231796.37816412005</v>
      </c>
      <c r="K12" s="87"/>
      <c r="L12" s="87">
        <f>(Summary!D14*Discounting_Ideal!$M$4*Effectiveness!G10)*$J$5</f>
        <v>421447.96029840002</v>
      </c>
      <c r="N12" s="240"/>
      <c r="O12" s="240">
        <f>(Summary!C14*$Q$4)*Discounting_Ideal!$M$3*Effectiveness!G10</f>
        <v>223.91600000000005</v>
      </c>
      <c r="P12" s="240"/>
      <c r="Q12" s="240">
        <f>(Summary!D14*Discounting_Ideal!$Q$4)*(Discounting_Ideal!$M$3)*(Effectiveness!G10)</f>
        <v>407.12000000000006</v>
      </c>
      <c r="R12" s="240"/>
      <c r="S12" s="240">
        <f>Summary!C14*$M$4*Effectiveness!G10</f>
        <v>24.794000000000004</v>
      </c>
      <c r="T12" s="241"/>
      <c r="U12" s="241">
        <f>Summary!D14*$M$4*Effectiveness!G10</f>
        <v>45.080000000000005</v>
      </c>
    </row>
    <row r="13" spans="1:21" ht="16.5" thickTop="1" thickBot="1" x14ac:dyDescent="0.3">
      <c r="A13" t="str">
        <f>Prevention!E14</f>
        <v>Initial Exam</v>
      </c>
      <c r="B13" s="83">
        <f>Initial_exam!J8</f>
        <v>10850.76</v>
      </c>
      <c r="D13" s="83">
        <f>Initial_exam!K8</f>
        <v>38178.600000000006</v>
      </c>
      <c r="E13" s="84"/>
      <c r="F13" s="552">
        <f>(Summary!C15*Discounting_Ideal!$Q$4*$M$3*Effectiveness!G11)*$H$5</f>
        <v>42956.618119450715</v>
      </c>
      <c r="G13" s="87"/>
      <c r="H13" s="87">
        <f>(Summary!D15*Discounting_Ideal!$Q$4*$M$3*Effectiveness!G11)*Discounting_Ideal!$H$5</f>
        <v>531654.44030554744</v>
      </c>
      <c r="I13" s="87"/>
      <c r="J13" s="87">
        <f>(Summary!C15*Discounting_Ideal!$M$4*Effectiveness!G11)*$J$5</f>
        <v>30302.166798708819</v>
      </c>
      <c r="K13" s="87"/>
      <c r="L13" s="87">
        <f>(Summary!D15*Discounting_Ideal!$M$4*Effectiveness!G11)*$J$5</f>
        <v>375036.07673710608</v>
      </c>
      <c r="N13" s="243"/>
      <c r="O13" s="240">
        <f>(Summary!C15*$Q$4)*Discounting_Ideal!$M$3*Effectiveness!G11</f>
        <v>29.271984466019422</v>
      </c>
      <c r="P13" s="242"/>
      <c r="Q13" s="240">
        <f>(Summary!D15*Discounting_Ideal!$Q$4)*(Discounting_Ideal!$M$3)*(Effectiveness!G11)</f>
        <v>362.2859805825243</v>
      </c>
      <c r="R13" s="240"/>
      <c r="S13" s="240">
        <f>Summary!C15*$M$4*Effectiveness!G11</f>
        <v>3.2412582524271847</v>
      </c>
      <c r="T13" s="241"/>
      <c r="U13" s="241">
        <f>Summary!D15*$M$4*Effectiveness!G11</f>
        <v>40.115572815533987</v>
      </c>
    </row>
    <row r="14" spans="1:21" ht="15.75" thickTop="1" x14ac:dyDescent="0.25">
      <c r="B14" s="83"/>
      <c r="C14" s="83"/>
      <c r="D14" s="84"/>
      <c r="E14" s="84"/>
      <c r="F14" s="84"/>
      <c r="G14" s="84"/>
      <c r="H14" s="87"/>
      <c r="I14" s="87"/>
      <c r="J14" s="84"/>
      <c r="K14" s="84"/>
    </row>
    <row r="15" spans="1:21" x14ac:dyDescent="0.25">
      <c r="B15" s="83"/>
      <c r="C15" s="83"/>
      <c r="D15" s="84"/>
      <c r="E15" s="84"/>
      <c r="F15" s="84"/>
      <c r="G15" s="84"/>
      <c r="H15" s="87"/>
      <c r="I15" s="87"/>
      <c r="J15" s="84"/>
      <c r="K15" s="84"/>
    </row>
    <row r="16" spans="1:21" s="67" customFormat="1" ht="18.75" x14ac:dyDescent="0.3">
      <c r="A16" s="67" t="str">
        <f>Summary!B11</f>
        <v>Water Fluoridation</v>
      </c>
      <c r="B16" s="942" t="s">
        <v>150</v>
      </c>
      <c r="C16" s="942"/>
      <c r="D16" s="942"/>
      <c r="E16" s="942"/>
      <c r="F16" s="962" t="s">
        <v>152</v>
      </c>
      <c r="G16" s="962"/>
      <c r="H16" s="962"/>
      <c r="I16" s="962"/>
      <c r="J16" s="962"/>
      <c r="K16" s="962"/>
      <c r="L16" s="962"/>
      <c r="M16" s="962"/>
      <c r="N16" s="961" t="s">
        <v>151</v>
      </c>
      <c r="O16" s="961"/>
      <c r="P16" s="961"/>
      <c r="Q16" s="961"/>
      <c r="R16" s="961"/>
      <c r="S16" s="961"/>
      <c r="T16" s="961"/>
      <c r="U16" s="961"/>
    </row>
    <row r="17" spans="1:21" x14ac:dyDescent="0.25">
      <c r="A17" s="215" t="s">
        <v>58</v>
      </c>
      <c r="B17" t="s">
        <v>57</v>
      </c>
      <c r="C17" t="s">
        <v>61</v>
      </c>
      <c r="D17" t="s">
        <v>59</v>
      </c>
      <c r="E17" t="s">
        <v>61</v>
      </c>
      <c r="F17" t="s">
        <v>63</v>
      </c>
      <c r="G17" t="s">
        <v>61</v>
      </c>
      <c r="H17" t="s">
        <v>64</v>
      </c>
      <c r="I17" t="s">
        <v>61</v>
      </c>
      <c r="J17" t="s">
        <v>65</v>
      </c>
      <c r="K17" t="s">
        <v>61</v>
      </c>
      <c r="L17" t="s">
        <v>66</v>
      </c>
      <c r="M17" t="s">
        <v>67</v>
      </c>
      <c r="N17" t="s">
        <v>90</v>
      </c>
      <c r="O17" t="s">
        <v>89</v>
      </c>
      <c r="P17" t="s">
        <v>91</v>
      </c>
      <c r="Q17" t="s">
        <v>89</v>
      </c>
      <c r="R17" t="s">
        <v>92</v>
      </c>
      <c r="S17" t="s">
        <v>89</v>
      </c>
      <c r="T17" t="s">
        <v>66</v>
      </c>
      <c r="U17" t="s">
        <v>89</v>
      </c>
    </row>
    <row r="18" spans="1:21" x14ac:dyDescent="0.25">
      <c r="A18">
        <v>1</v>
      </c>
      <c r="B18" s="137">
        <f>B9/(1+E3)^A18</f>
        <v>17597.087378640776</v>
      </c>
      <c r="C18" s="85">
        <f>B18</f>
        <v>17597.087378640776</v>
      </c>
      <c r="D18" s="137">
        <f>D9/(1+E3)^A18</f>
        <v>194446.60194174756</v>
      </c>
      <c r="E18" s="85">
        <f>D18</f>
        <v>194446.60194174756</v>
      </c>
      <c r="F18" s="87">
        <f>$F$9/(1+$E$3)^A18</f>
        <v>261584.26940135812</v>
      </c>
      <c r="G18" s="87">
        <f>F18</f>
        <v>261584.26940135812</v>
      </c>
      <c r="H18" s="87">
        <f>$H$9/(1+$E$3)^A18</f>
        <v>495292.49717652204</v>
      </c>
      <c r="I18" s="87">
        <f>H18</f>
        <v>495292.49717652204</v>
      </c>
      <c r="J18" s="87">
        <f>$J$9/(1+$E$3)^A18</f>
        <v>184525.00476822208</v>
      </c>
      <c r="K18" s="87">
        <f>J18</f>
        <v>184525.00476822208</v>
      </c>
      <c r="L18" s="87">
        <f>$L$9/(1+$E$3)^A18</f>
        <v>349385.88093358732</v>
      </c>
      <c r="M18" s="87">
        <f>L18</f>
        <v>349385.88093358732</v>
      </c>
      <c r="N18" s="82">
        <f t="shared" ref="N18:N27" si="0">$O$9/(1+$E$3)^A18</f>
        <v>178.25171081157507</v>
      </c>
      <c r="O18" s="82">
        <f>N18</f>
        <v>178.25171081157507</v>
      </c>
      <c r="P18" s="82">
        <f t="shared" ref="P18:P27" si="1">$Q$9/(1+$E$3)^A18</f>
        <v>337.50781412008672</v>
      </c>
      <c r="Q18" s="139">
        <f>P18</f>
        <v>337.50781412008672</v>
      </c>
      <c r="R18" s="82">
        <f t="shared" ref="R18:R27" si="2">$S$9/(1+$E$3)^A18</f>
        <v>19.737637854651709</v>
      </c>
      <c r="S18" s="82">
        <f>R18</f>
        <v>19.737637854651709</v>
      </c>
      <c r="T18" s="82">
        <f t="shared" ref="T18:T27" si="3">$U$9/(1+$E$3)^A18</f>
        <v>37.37191064190781</v>
      </c>
      <c r="U18" s="156">
        <f>T18</f>
        <v>37.37191064190781</v>
      </c>
    </row>
    <row r="19" spans="1:21" x14ac:dyDescent="0.25">
      <c r="A19">
        <v>2</v>
      </c>
      <c r="B19" s="87">
        <f>$C$9/(1+$E$3)^$A$19</f>
        <v>17084.550853049299</v>
      </c>
      <c r="C19" s="87">
        <f>C18+B19</f>
        <v>34681.638231690071</v>
      </c>
      <c r="D19" s="87">
        <f>$E$9/(1+$E$3)^A19</f>
        <v>75172.023753416914</v>
      </c>
      <c r="E19" s="87">
        <f>E18+D19</f>
        <v>269618.62569516449</v>
      </c>
      <c r="F19" s="87">
        <f t="shared" ref="F19:F27" si="4">$F$9/(1+$E$3)^A19</f>
        <v>253965.31009840596</v>
      </c>
      <c r="G19" s="87">
        <f>G18+F19</f>
        <v>515549.57949976408</v>
      </c>
      <c r="H19" s="87">
        <f t="shared" ref="H19:H27" si="5">$H$9/(1+$E$3)^A19</f>
        <v>480866.5021131282</v>
      </c>
      <c r="I19" s="87">
        <f>I18+H19</f>
        <v>976158.99928965024</v>
      </c>
      <c r="J19" s="87">
        <f t="shared" ref="J19:J27" si="6">$J$9/(1+$E$3)^A19</f>
        <v>179150.49006623504</v>
      </c>
      <c r="K19" s="87">
        <f>K18+J19</f>
        <v>363675.49483445712</v>
      </c>
      <c r="L19" s="87">
        <f t="shared" ref="L19:L27" si="7">$L$9/(1+$E$3)^A19</f>
        <v>339209.59313940519</v>
      </c>
      <c r="M19" s="87">
        <f>M18+L19</f>
        <v>688595.47407299257</v>
      </c>
      <c r="N19" s="82">
        <f t="shared" si="0"/>
        <v>173.0599134092962</v>
      </c>
      <c r="O19" s="82">
        <f>O18+N19</f>
        <v>351.31162422087129</v>
      </c>
      <c r="P19" s="82">
        <f t="shared" si="1"/>
        <v>327.6774894369774</v>
      </c>
      <c r="Q19" s="139">
        <f>Q18+P19</f>
        <v>665.18530355706412</v>
      </c>
      <c r="R19" s="82">
        <f t="shared" si="2"/>
        <v>19.162755198690981</v>
      </c>
      <c r="S19" s="82">
        <f>S18+R19</f>
        <v>38.90039305334269</v>
      </c>
      <c r="T19" s="82">
        <f t="shared" si="3"/>
        <v>36.283408390201764</v>
      </c>
      <c r="U19" s="156">
        <f>U18+T19</f>
        <v>73.655319032109574</v>
      </c>
    </row>
    <row r="20" spans="1:21" x14ac:dyDescent="0.25">
      <c r="A20">
        <v>3</v>
      </c>
      <c r="B20" s="87">
        <f>$C$9/(1+$E$3)^$A$20</f>
        <v>16586.942575776018</v>
      </c>
      <c r="C20" s="87">
        <f>C19+B20</f>
        <v>51268.580807466089</v>
      </c>
      <c r="D20" s="87">
        <f t="shared" ref="D20:D27" si="8">$E$9/(1+$E$3)^A20</f>
        <v>72982.547333414477</v>
      </c>
      <c r="E20" s="87">
        <f>E19+D20</f>
        <v>342601.17302857898</v>
      </c>
      <c r="F20" s="87">
        <f t="shared" si="4"/>
        <v>246568.26223146208</v>
      </c>
      <c r="G20" s="87">
        <f t="shared" ref="G20:G27" si="9">G19+F20</f>
        <v>762117.84173122619</v>
      </c>
      <c r="H20" s="87">
        <f t="shared" si="5"/>
        <v>466860.68166323123</v>
      </c>
      <c r="I20" s="87">
        <f t="shared" ref="I20:I27" si="10">I19+H20</f>
        <v>1443019.6809528815</v>
      </c>
      <c r="J20" s="87">
        <f t="shared" si="6"/>
        <v>173932.51462741266</v>
      </c>
      <c r="K20" s="87">
        <f t="shared" ref="K20:K27" si="11">K19+J20</f>
        <v>537608.00946186972</v>
      </c>
      <c r="L20" s="87">
        <f t="shared" si="7"/>
        <v>329329.70207709243</v>
      </c>
      <c r="M20" s="87">
        <f t="shared" ref="M20:M27" si="12">M19+L20</f>
        <v>1017925.1761500849</v>
      </c>
      <c r="N20" s="82">
        <f t="shared" si="0"/>
        <v>168.01933340708368</v>
      </c>
      <c r="O20" s="82">
        <f t="shared" ref="O20:O27" si="13">O19+N20</f>
        <v>519.33095762795494</v>
      </c>
      <c r="P20" s="82">
        <f t="shared" si="1"/>
        <v>318.1334848902693</v>
      </c>
      <c r="Q20" s="139">
        <f t="shared" ref="Q20:Q27" si="14">Q19+P20</f>
        <v>983.31878844733342</v>
      </c>
      <c r="R20" s="82">
        <f t="shared" si="2"/>
        <v>18.604616697758235</v>
      </c>
      <c r="S20" s="139">
        <f t="shared" ref="S20:S27" si="15">S19+R20</f>
        <v>57.505009751100928</v>
      </c>
      <c r="T20" s="82">
        <f t="shared" si="3"/>
        <v>35.226610087574521</v>
      </c>
      <c r="U20" s="155">
        <f t="shared" ref="U20:U27" si="16">U19+T20</f>
        <v>108.88192911968409</v>
      </c>
    </row>
    <row r="21" spans="1:21" x14ac:dyDescent="0.25">
      <c r="A21">
        <v>4</v>
      </c>
      <c r="B21" s="87">
        <f>$C$9/(1+$E$3)^$A$21</f>
        <v>16103.827743471862</v>
      </c>
      <c r="C21" s="87">
        <f t="shared" ref="C21:C27" si="17">C20+B21</f>
        <v>67372.408550937951</v>
      </c>
      <c r="D21" s="87">
        <f t="shared" si="8"/>
        <v>70856.842071276202</v>
      </c>
      <c r="E21" s="87">
        <f t="shared" ref="E21:E27" si="18">E20+D21</f>
        <v>413458.0150998552</v>
      </c>
      <c r="F21" s="87">
        <f t="shared" si="4"/>
        <v>239386.66236064283</v>
      </c>
      <c r="G21" s="87">
        <f t="shared" si="9"/>
        <v>1001504.504091869</v>
      </c>
      <c r="H21" s="87">
        <f t="shared" si="5"/>
        <v>453262.79773129249</v>
      </c>
      <c r="I21" s="87">
        <f t="shared" si="10"/>
        <v>1896282.4786841739</v>
      </c>
      <c r="J21" s="87">
        <f t="shared" si="6"/>
        <v>168866.51905574044</v>
      </c>
      <c r="K21" s="87">
        <f t="shared" si="11"/>
        <v>706474.52851761016</v>
      </c>
      <c r="L21" s="87">
        <f t="shared" si="7"/>
        <v>319737.57483212859</v>
      </c>
      <c r="M21" s="87">
        <f t="shared" si="12"/>
        <v>1337662.7509822135</v>
      </c>
      <c r="N21" s="82">
        <f t="shared" si="0"/>
        <v>163.12556641464434</v>
      </c>
      <c r="O21" s="82">
        <f t="shared" si="13"/>
        <v>682.45652404259931</v>
      </c>
      <c r="P21" s="82">
        <f t="shared" si="1"/>
        <v>308.86746105851392</v>
      </c>
      <c r="Q21" s="139">
        <f t="shared" si="14"/>
        <v>1292.1862495058474</v>
      </c>
      <c r="R21" s="82">
        <f t="shared" si="2"/>
        <v>18.062734658017703</v>
      </c>
      <c r="S21" s="139">
        <f t="shared" si="15"/>
        <v>75.567744409118632</v>
      </c>
      <c r="T21" s="82">
        <f t="shared" si="3"/>
        <v>34.200592318033522</v>
      </c>
      <c r="U21" s="155">
        <f t="shared" si="16"/>
        <v>143.08252143771762</v>
      </c>
    </row>
    <row r="22" spans="1:21" x14ac:dyDescent="0.25">
      <c r="A22">
        <v>5</v>
      </c>
      <c r="B22" s="87">
        <f>$C$9/(1+$E$3)^$A$22</f>
        <v>15634.784216962975</v>
      </c>
      <c r="C22" s="87">
        <f t="shared" si="17"/>
        <v>83007.192767900924</v>
      </c>
      <c r="D22" s="87">
        <f t="shared" si="8"/>
        <v>68793.050554637084</v>
      </c>
      <c r="E22" s="87">
        <f t="shared" si="18"/>
        <v>482251.0656544923</v>
      </c>
      <c r="F22" s="87">
        <f t="shared" si="4"/>
        <v>232414.23530159498</v>
      </c>
      <c r="G22" s="87">
        <f t="shared" si="9"/>
        <v>1233918.7393934641</v>
      </c>
      <c r="H22" s="87">
        <f t="shared" si="5"/>
        <v>440060.96867115778</v>
      </c>
      <c r="I22" s="87">
        <f t="shared" si="10"/>
        <v>2336343.4473553319</v>
      </c>
      <c r="J22" s="87">
        <f t="shared" si="6"/>
        <v>163948.07675314607</v>
      </c>
      <c r="K22" s="87">
        <f t="shared" si="11"/>
        <v>870422.60527075618</v>
      </c>
      <c r="L22" s="87">
        <f t="shared" si="7"/>
        <v>310424.82993410545</v>
      </c>
      <c r="M22" s="87">
        <f t="shared" si="12"/>
        <v>1648087.580916319</v>
      </c>
      <c r="N22" s="82">
        <f t="shared" si="0"/>
        <v>158.37433632489743</v>
      </c>
      <c r="O22" s="82">
        <f t="shared" si="13"/>
        <v>840.83086036749671</v>
      </c>
      <c r="P22" s="82">
        <f t="shared" si="1"/>
        <v>299.87132141603297</v>
      </c>
      <c r="Q22" s="139">
        <f t="shared" si="14"/>
        <v>1592.0575709218804</v>
      </c>
      <c r="R22" s="82">
        <f t="shared" si="2"/>
        <v>17.536635590308453</v>
      </c>
      <c r="S22" s="139">
        <f t="shared" si="15"/>
        <v>93.104379999427081</v>
      </c>
      <c r="T22" s="82">
        <f t="shared" si="3"/>
        <v>33.204458561197598</v>
      </c>
      <c r="U22" s="155">
        <f t="shared" si="16"/>
        <v>176.28697999891523</v>
      </c>
    </row>
    <row r="23" spans="1:21" x14ac:dyDescent="0.25">
      <c r="A23">
        <v>6</v>
      </c>
      <c r="B23" s="87">
        <f>$C$9/(1+$E$3)^$A$23</f>
        <v>15179.402152391236</v>
      </c>
      <c r="C23" s="87">
        <f t="shared" si="17"/>
        <v>98186.594920292162</v>
      </c>
      <c r="D23" s="87">
        <f t="shared" si="8"/>
        <v>66789.369470521444</v>
      </c>
      <c r="E23" s="87">
        <f t="shared" si="18"/>
        <v>549040.4351250137</v>
      </c>
      <c r="F23" s="87">
        <f t="shared" si="4"/>
        <v>225644.88864232521</v>
      </c>
      <c r="G23" s="87">
        <f t="shared" si="9"/>
        <v>1459563.6280357894</v>
      </c>
      <c r="H23" s="87">
        <f t="shared" si="5"/>
        <v>427243.65890403668</v>
      </c>
      <c r="I23" s="87">
        <f t="shared" si="10"/>
        <v>2763587.1062593684</v>
      </c>
      <c r="J23" s="87">
        <f t="shared" si="6"/>
        <v>159172.89005159811</v>
      </c>
      <c r="K23" s="87">
        <f t="shared" si="11"/>
        <v>1029595.4953223543</v>
      </c>
      <c r="L23" s="87">
        <f t="shared" si="7"/>
        <v>301383.33003311203</v>
      </c>
      <c r="M23" s="87">
        <f t="shared" si="12"/>
        <v>1949470.9109494311</v>
      </c>
      <c r="N23" s="82">
        <f t="shared" si="0"/>
        <v>153.76149157757033</v>
      </c>
      <c r="O23" s="82">
        <f t="shared" si="13"/>
        <v>994.59235194506709</v>
      </c>
      <c r="P23" s="82">
        <f t="shared" si="1"/>
        <v>291.13720525828438</v>
      </c>
      <c r="Q23" s="139">
        <f t="shared" si="14"/>
        <v>1883.1947761801648</v>
      </c>
      <c r="R23" s="82">
        <f t="shared" si="2"/>
        <v>17.025859796415972</v>
      </c>
      <c r="S23" s="139">
        <f t="shared" si="15"/>
        <v>110.13023979584305</v>
      </c>
      <c r="T23" s="82">
        <f t="shared" si="3"/>
        <v>32.237338408929702</v>
      </c>
      <c r="U23" s="155">
        <f t="shared" si="16"/>
        <v>208.52431840784493</v>
      </c>
    </row>
    <row r="24" spans="1:21" x14ac:dyDescent="0.25">
      <c r="A24">
        <v>7</v>
      </c>
      <c r="B24" s="87">
        <f>$C$9/(1+$E$3)^$A$24</f>
        <v>14737.283643098286</v>
      </c>
      <c r="C24" s="87">
        <f t="shared" si="17"/>
        <v>112923.87856339045</v>
      </c>
      <c r="D24" s="87">
        <f t="shared" si="8"/>
        <v>64844.04802963246</v>
      </c>
      <c r="E24" s="87">
        <f t="shared" si="18"/>
        <v>613884.48315464612</v>
      </c>
      <c r="F24" s="87">
        <f t="shared" si="4"/>
        <v>219072.7074197332</v>
      </c>
      <c r="G24" s="87">
        <f t="shared" si="9"/>
        <v>1678636.3354555226</v>
      </c>
      <c r="H24" s="87">
        <f t="shared" si="5"/>
        <v>414799.66883887054</v>
      </c>
      <c r="I24" s="87">
        <f t="shared" si="10"/>
        <v>3178386.7750982391</v>
      </c>
      <c r="J24" s="87">
        <f t="shared" si="6"/>
        <v>154536.78645786224</v>
      </c>
      <c r="K24" s="87">
        <f t="shared" si="11"/>
        <v>1184132.2817802164</v>
      </c>
      <c r="L24" s="87">
        <f t="shared" si="7"/>
        <v>292605.17478942918</v>
      </c>
      <c r="M24" s="87">
        <f t="shared" si="12"/>
        <v>2242076.0857388601</v>
      </c>
      <c r="N24" s="82">
        <f t="shared" si="0"/>
        <v>149.28300153162166</v>
      </c>
      <c r="O24" s="82">
        <f t="shared" si="13"/>
        <v>1143.8753534766888</v>
      </c>
      <c r="P24" s="82">
        <f t="shared" si="1"/>
        <v>282.65748083328583</v>
      </c>
      <c r="Q24" s="139">
        <f t="shared" si="14"/>
        <v>2165.8522570134505</v>
      </c>
      <c r="R24" s="82">
        <f t="shared" si="2"/>
        <v>16.529960967394146</v>
      </c>
      <c r="S24" s="139">
        <f t="shared" si="15"/>
        <v>126.6602007632372</v>
      </c>
      <c r="T24" s="82">
        <f t="shared" si="3"/>
        <v>31.298386804786116</v>
      </c>
      <c r="U24" s="155">
        <f t="shared" si="16"/>
        <v>239.82270521263104</v>
      </c>
    </row>
    <row r="25" spans="1:21" x14ac:dyDescent="0.25">
      <c r="A25">
        <v>8</v>
      </c>
      <c r="B25" s="87">
        <f>$C$9/(1+$E$3)^$A$25</f>
        <v>14308.042371940086</v>
      </c>
      <c r="C25" s="87">
        <f t="shared" si="17"/>
        <v>127231.92093533053</v>
      </c>
      <c r="D25" s="87">
        <f t="shared" si="8"/>
        <v>62955.386436536377</v>
      </c>
      <c r="E25" s="87">
        <f t="shared" si="18"/>
        <v>676839.86959118245</v>
      </c>
      <c r="F25" s="87">
        <f t="shared" si="4"/>
        <v>212691.94895119732</v>
      </c>
      <c r="G25" s="87">
        <f t="shared" si="9"/>
        <v>1891328.28440672</v>
      </c>
      <c r="H25" s="87">
        <f t="shared" si="5"/>
        <v>402718.12508628215</v>
      </c>
      <c r="I25" s="87">
        <f t="shared" si="10"/>
        <v>3581104.9001845215</v>
      </c>
      <c r="J25" s="87">
        <f t="shared" si="6"/>
        <v>150035.71500763326</v>
      </c>
      <c r="K25" s="87">
        <f t="shared" si="11"/>
        <v>1334167.9967878496</v>
      </c>
      <c r="L25" s="87">
        <f t="shared" si="7"/>
        <v>284082.69397031958</v>
      </c>
      <c r="M25" s="87">
        <f t="shared" si="12"/>
        <v>2526158.7797091799</v>
      </c>
      <c r="N25" s="82">
        <f t="shared" si="0"/>
        <v>144.934952943322</v>
      </c>
      <c r="O25" s="82">
        <f t="shared" si="13"/>
        <v>1288.8103064200109</v>
      </c>
      <c r="P25" s="82">
        <f t="shared" si="1"/>
        <v>274.42473867309303</v>
      </c>
      <c r="Q25" s="139">
        <f t="shared" si="14"/>
        <v>2440.2769956865436</v>
      </c>
      <c r="R25" s="82">
        <f t="shared" si="2"/>
        <v>16.04850579358655</v>
      </c>
      <c r="S25" s="139">
        <f t="shared" si="15"/>
        <v>142.70870655682376</v>
      </c>
      <c r="T25" s="82">
        <f t="shared" si="3"/>
        <v>30.386783305617591</v>
      </c>
      <c r="U25" s="155">
        <f t="shared" si="16"/>
        <v>270.20948851824863</v>
      </c>
    </row>
    <row r="26" spans="1:21" x14ac:dyDescent="0.25">
      <c r="A26">
        <v>9</v>
      </c>
      <c r="B26" s="87">
        <f>$C$9/(1+$E$3)^$A$26</f>
        <v>13891.303273728239</v>
      </c>
      <c r="C26" s="87">
        <f t="shared" si="17"/>
        <v>141123.22420905877</v>
      </c>
      <c r="D26" s="87">
        <f t="shared" si="8"/>
        <v>61121.734404404247</v>
      </c>
      <c r="E26" s="87">
        <f t="shared" si="18"/>
        <v>737961.60399558675</v>
      </c>
      <c r="F26" s="87">
        <f t="shared" si="4"/>
        <v>206497.03781669642</v>
      </c>
      <c r="G26" s="87">
        <f t="shared" si="9"/>
        <v>2097825.3222234165</v>
      </c>
      <c r="H26" s="87">
        <f t="shared" si="5"/>
        <v>390988.47095755546</v>
      </c>
      <c r="I26" s="87">
        <f t="shared" si="10"/>
        <v>3972093.3711420768</v>
      </c>
      <c r="J26" s="87">
        <f t="shared" si="6"/>
        <v>145665.74272585753</v>
      </c>
      <c r="K26" s="87">
        <f t="shared" si="11"/>
        <v>1479833.7395137071</v>
      </c>
      <c r="L26" s="87">
        <f t="shared" si="7"/>
        <v>275808.44074788311</v>
      </c>
      <c r="M26" s="87">
        <f t="shared" si="12"/>
        <v>2801967.2204570631</v>
      </c>
      <c r="N26" s="82">
        <f t="shared" si="0"/>
        <v>140.71354654691459</v>
      </c>
      <c r="O26" s="82">
        <f t="shared" si="13"/>
        <v>1429.5238529669255</v>
      </c>
      <c r="P26" s="82">
        <f t="shared" si="1"/>
        <v>266.43178511950782</v>
      </c>
      <c r="Q26" s="139">
        <f t="shared" si="14"/>
        <v>2706.7087808060514</v>
      </c>
      <c r="R26" s="82">
        <f t="shared" si="2"/>
        <v>15.58107358600636</v>
      </c>
      <c r="S26" s="139">
        <f t="shared" si="15"/>
        <v>158.28978014283012</v>
      </c>
      <c r="T26" s="82">
        <f t="shared" si="3"/>
        <v>29.501731364677273</v>
      </c>
      <c r="U26" s="155">
        <f t="shared" si="16"/>
        <v>299.71121988292589</v>
      </c>
    </row>
    <row r="27" spans="1:21" x14ac:dyDescent="0.25">
      <c r="A27">
        <v>10</v>
      </c>
      <c r="B27" s="87">
        <f>$C$9/(1+$E$3)^$A$27</f>
        <v>13486.702207503144</v>
      </c>
      <c r="C27" s="87">
        <f t="shared" si="17"/>
        <v>154609.92641656191</v>
      </c>
      <c r="D27" s="87">
        <f t="shared" si="8"/>
        <v>59341.489713013834</v>
      </c>
      <c r="E27" s="87">
        <f t="shared" si="18"/>
        <v>797303.09370860062</v>
      </c>
      <c r="F27" s="87">
        <f t="shared" si="4"/>
        <v>200482.56098708388</v>
      </c>
      <c r="G27" s="87">
        <f t="shared" si="9"/>
        <v>2298307.8832105002</v>
      </c>
      <c r="H27" s="87">
        <f t="shared" si="5"/>
        <v>379600.45724034507</v>
      </c>
      <c r="I27" s="87">
        <f t="shared" si="10"/>
        <v>4351693.8283824222</v>
      </c>
      <c r="J27" s="87">
        <f t="shared" si="6"/>
        <v>141423.05119015294</v>
      </c>
      <c r="K27" s="87">
        <f t="shared" si="11"/>
        <v>1621256.7907038601</v>
      </c>
      <c r="L27" s="87">
        <f t="shared" si="7"/>
        <v>267775.1851921195</v>
      </c>
      <c r="M27" s="87">
        <f t="shared" si="12"/>
        <v>3069742.4056491824</v>
      </c>
      <c r="N27" s="82">
        <f t="shared" si="0"/>
        <v>136.61509373486851</v>
      </c>
      <c r="O27" s="82">
        <f t="shared" si="13"/>
        <v>1566.1389467017939</v>
      </c>
      <c r="P27" s="82">
        <f t="shared" si="1"/>
        <v>258.67163603835706</v>
      </c>
      <c r="Q27" s="139">
        <f t="shared" si="14"/>
        <v>2965.3804168444085</v>
      </c>
      <c r="R27" s="82">
        <f t="shared" si="2"/>
        <v>15.12725590874404</v>
      </c>
      <c r="S27" s="139">
        <f t="shared" si="15"/>
        <v>173.41703605157417</v>
      </c>
      <c r="T27" s="82">
        <f t="shared" si="3"/>
        <v>28.642457635609002</v>
      </c>
      <c r="U27" s="155">
        <f t="shared" si="16"/>
        <v>328.35367751853488</v>
      </c>
    </row>
    <row r="29" spans="1:21" s="67" customFormat="1" ht="18.75" x14ac:dyDescent="0.3">
      <c r="A29" s="67" t="str">
        <f>Summary!B12</f>
        <v>Dental Sealants</v>
      </c>
      <c r="B29" s="942" t="s">
        <v>150</v>
      </c>
      <c r="C29" s="942"/>
      <c r="D29" s="942"/>
      <c r="E29" s="942"/>
      <c r="F29" s="962" t="s">
        <v>152</v>
      </c>
      <c r="G29" s="962"/>
      <c r="H29" s="962"/>
      <c r="I29" s="962"/>
      <c r="J29" s="962"/>
      <c r="K29" s="962"/>
      <c r="L29" s="962"/>
      <c r="M29" s="962"/>
      <c r="N29" s="961" t="s">
        <v>151</v>
      </c>
      <c r="O29" s="961"/>
      <c r="P29" s="961"/>
      <c r="Q29" s="961"/>
      <c r="R29" s="961"/>
      <c r="S29" s="961"/>
      <c r="T29" s="961"/>
      <c r="U29" s="961"/>
    </row>
    <row r="30" spans="1:21" x14ac:dyDescent="0.25">
      <c r="A30" s="215" t="s">
        <v>58</v>
      </c>
      <c r="B30" t="s">
        <v>57</v>
      </c>
      <c r="C30" t="s">
        <v>61</v>
      </c>
      <c r="D30" t="s">
        <v>59</v>
      </c>
      <c r="E30" t="s">
        <v>61</v>
      </c>
      <c r="F30" t="s">
        <v>63</v>
      </c>
      <c r="G30" t="s">
        <v>61</v>
      </c>
      <c r="H30" t="s">
        <v>64</v>
      </c>
      <c r="I30" t="s">
        <v>61</v>
      </c>
      <c r="J30" t="s">
        <v>65</v>
      </c>
      <c r="K30" t="s">
        <v>61</v>
      </c>
      <c r="L30" t="s">
        <v>66</v>
      </c>
      <c r="M30" t="s">
        <v>67</v>
      </c>
      <c r="N30" t="s">
        <v>90</v>
      </c>
      <c r="O30" t="s">
        <v>89</v>
      </c>
      <c r="P30" t="s">
        <v>91</v>
      </c>
      <c r="Q30" t="s">
        <v>89</v>
      </c>
      <c r="R30" t="s">
        <v>92</v>
      </c>
      <c r="S30" t="s">
        <v>89</v>
      </c>
      <c r="T30" t="s">
        <v>66</v>
      </c>
      <c r="U30" t="s">
        <v>89</v>
      </c>
    </row>
    <row r="31" spans="1:21" x14ac:dyDescent="0.25">
      <c r="A31">
        <v>1</v>
      </c>
      <c r="B31" s="137">
        <f>B10/(1+$E$3)^$A$31</f>
        <v>12058.252427184465</v>
      </c>
      <c r="C31" s="85">
        <f>B31</f>
        <v>12058.252427184465</v>
      </c>
      <c r="D31" s="137">
        <f>D10/(1+$E$3)^$A$31</f>
        <v>220328.38834951454</v>
      </c>
      <c r="E31" s="85">
        <f>D31</f>
        <v>220328.38834951454</v>
      </c>
      <c r="F31" s="87">
        <f>$F$10/(1+$E$3)^A31</f>
        <v>156878.15633788973</v>
      </c>
      <c r="G31" s="87">
        <f>F31</f>
        <v>156878.15633788973</v>
      </c>
      <c r="H31" s="87">
        <f>$H$10/(1+$E$3)^A31</f>
        <v>1615845.0102802641</v>
      </c>
      <c r="I31" s="87">
        <f>H31</f>
        <v>1615845.0102802641</v>
      </c>
      <c r="J31" s="87">
        <f>$J$10/(1+$E$3)^A31</f>
        <v>31618.264914921296</v>
      </c>
      <c r="K31" s="87">
        <f>J31</f>
        <v>31618.264914921296</v>
      </c>
      <c r="L31" s="87">
        <f>$L$10/(1+$E$3)^A31</f>
        <v>325668.12862368935</v>
      </c>
      <c r="M31" s="87">
        <f>L31</f>
        <v>325668.12862368935</v>
      </c>
      <c r="N31" s="82">
        <f t="shared" ref="N31:N40" si="19">$O$10/(1+$E$3)^A31</f>
        <v>42.760674898670949</v>
      </c>
      <c r="O31" s="82">
        <f>N31</f>
        <v>42.760674898670949</v>
      </c>
      <c r="P31" s="82">
        <f t="shared" ref="P31:P40" si="20">$Q$10/(1+$E$3)^A31</f>
        <v>440.43495145631067</v>
      </c>
      <c r="Q31" s="139">
        <f>P31</f>
        <v>440.43495145631067</v>
      </c>
      <c r="R31" s="82">
        <f t="shared" ref="R31:R40" si="21">$S$10/(1+$E$3)^A31</f>
        <v>4.7348477707606751</v>
      </c>
      <c r="S31" s="82">
        <f>R31</f>
        <v>4.7348477707606751</v>
      </c>
      <c r="T31" s="82">
        <f t="shared" ref="T31:T40" si="22">$U$10/(1+$E$3)^A31</f>
        <v>48.768932038834947</v>
      </c>
      <c r="U31" s="156">
        <f>T31</f>
        <v>48.768932038834947</v>
      </c>
    </row>
    <row r="32" spans="1:21" x14ac:dyDescent="0.25">
      <c r="A32">
        <v>2</v>
      </c>
      <c r="B32" s="87">
        <f>$B$10/(1+$E$3)^A32</f>
        <v>11707.041191441229</v>
      </c>
      <c r="C32" s="87">
        <f>C31+B32</f>
        <v>23765.293618625692</v>
      </c>
      <c r="D32" s="87">
        <f>$D$10/(1+$E$3)^A32</f>
        <v>213911.05665001413</v>
      </c>
      <c r="E32" s="87">
        <f>E31+D32</f>
        <v>434239.4449995287</v>
      </c>
      <c r="F32" s="87">
        <f t="shared" ref="F32:F40" si="23">$F$10/(1+$E$3)^A32</f>
        <v>152308.88964843663</v>
      </c>
      <c r="G32" s="87">
        <f>G31+F32</f>
        <v>309187.04598632635</v>
      </c>
      <c r="H32" s="87">
        <f t="shared" ref="H32:H40" si="24">$H$10/(1+$E$3)^A32</f>
        <v>1568781.5633788973</v>
      </c>
      <c r="I32" s="87">
        <f>I31+H32</f>
        <v>3184626.5736591611</v>
      </c>
      <c r="J32" s="87">
        <f t="shared" ref="J32:J40" si="25">$J$10/(1+$E$3)^A32</f>
        <v>30697.344577593492</v>
      </c>
      <c r="K32" s="87">
        <f>K31+J32</f>
        <v>62315.609492514792</v>
      </c>
      <c r="L32" s="87">
        <f t="shared" ref="L32:L40" si="26">$L$10/(1+$E$3)^A32</f>
        <v>316182.64914921299</v>
      </c>
      <c r="M32" s="87">
        <f>M31+L32</f>
        <v>641850.77777290228</v>
      </c>
      <c r="N32" s="82">
        <f t="shared" si="19"/>
        <v>41.515218348224224</v>
      </c>
      <c r="O32" s="82">
        <f>O31+N32</f>
        <v>84.27589324689518</v>
      </c>
      <c r="P32" s="82">
        <f t="shared" si="20"/>
        <v>427.60674898670942</v>
      </c>
      <c r="Q32" s="139">
        <f>Q31+P32</f>
        <v>868.04170044302009</v>
      </c>
      <c r="R32" s="82">
        <f t="shared" si="21"/>
        <v>4.5969395832627917</v>
      </c>
      <c r="S32" s="82">
        <f>S31+R32</f>
        <v>9.3317873540234668</v>
      </c>
      <c r="T32" s="82">
        <f t="shared" si="22"/>
        <v>47.348477707606747</v>
      </c>
      <c r="U32" s="156">
        <f>U31+T32</f>
        <v>96.117409746441695</v>
      </c>
    </row>
    <row r="33" spans="1:21" x14ac:dyDescent="0.25">
      <c r="A33">
        <v>3</v>
      </c>
      <c r="B33" s="87">
        <f t="shared" ref="B33:B40" si="27">$B$10/(1+$E$3)^A33</f>
        <v>11366.059409166242</v>
      </c>
      <c r="C33" s="87">
        <f t="shared" ref="C33:C40" si="28">C32+B33</f>
        <v>35131.353027791934</v>
      </c>
      <c r="D33" s="87">
        <f t="shared" ref="D33:D40" si="29">$D$10/(1+$E$3)^A33</f>
        <v>207680.63752428556</v>
      </c>
      <c r="E33" s="87">
        <f t="shared" ref="E33:E40" si="30">E32+D33</f>
        <v>641920.08252381429</v>
      </c>
      <c r="F33" s="87">
        <f t="shared" si="23"/>
        <v>147872.70839654043</v>
      </c>
      <c r="G33" s="87">
        <f t="shared" ref="G33:G40" si="31">G32+F33</f>
        <v>457059.75438286678</v>
      </c>
      <c r="H33" s="87">
        <f t="shared" si="24"/>
        <v>1523088.8964843662</v>
      </c>
      <c r="I33" s="87">
        <f t="shared" ref="I33:I40" si="32">I32+H33</f>
        <v>4707715.4701435268</v>
      </c>
      <c r="J33" s="87">
        <f t="shared" si="25"/>
        <v>29803.247162712127</v>
      </c>
      <c r="K33" s="87">
        <f t="shared" ref="K33:K40" si="33">K32+J33</f>
        <v>92118.856655226919</v>
      </c>
      <c r="L33" s="87">
        <f t="shared" si="26"/>
        <v>306973.4457759349</v>
      </c>
      <c r="M33" s="87">
        <f t="shared" ref="M33:M40" si="34">M32+L33</f>
        <v>948824.22354883724</v>
      </c>
      <c r="N33" s="82">
        <f t="shared" si="19"/>
        <v>40.30603723128565</v>
      </c>
      <c r="O33" s="82">
        <f t="shared" ref="O33:O40" si="35">O32+N33</f>
        <v>124.58193047818082</v>
      </c>
      <c r="P33" s="82">
        <f t="shared" si="20"/>
        <v>415.15218348224215</v>
      </c>
      <c r="Q33" s="139">
        <f t="shared" ref="Q33:Q40" si="36">Q32+P33</f>
        <v>1283.1938839252623</v>
      </c>
      <c r="R33" s="82">
        <f t="shared" si="21"/>
        <v>4.4630481390900894</v>
      </c>
      <c r="S33" s="139">
        <f t="shared" ref="S33:S40" si="37">S32+R33</f>
        <v>13.794835493113556</v>
      </c>
      <c r="T33" s="82">
        <f t="shared" si="22"/>
        <v>45.96939583262791</v>
      </c>
      <c r="U33" s="155">
        <f t="shared" ref="U33:U40" si="38">U32+T33</f>
        <v>142.08680557906962</v>
      </c>
    </row>
    <row r="34" spans="1:21" x14ac:dyDescent="0.25">
      <c r="A34">
        <v>4</v>
      </c>
      <c r="B34" s="87">
        <f t="shared" si="27"/>
        <v>11035.009135112858</v>
      </c>
      <c r="C34" s="87">
        <f t="shared" si="28"/>
        <v>46166.362162904792</v>
      </c>
      <c r="D34" s="87">
        <f t="shared" si="29"/>
        <v>201631.68691678211</v>
      </c>
      <c r="E34" s="87">
        <f t="shared" si="30"/>
        <v>843551.76944059646</v>
      </c>
      <c r="F34" s="87">
        <f t="shared" si="23"/>
        <v>143565.7363073208</v>
      </c>
      <c r="G34" s="87">
        <f t="shared" si="31"/>
        <v>600625.49069018755</v>
      </c>
      <c r="H34" s="87">
        <f t="shared" si="24"/>
        <v>1478727.0839654042</v>
      </c>
      <c r="I34" s="87">
        <f t="shared" si="32"/>
        <v>6186442.5541089308</v>
      </c>
      <c r="J34" s="87">
        <f t="shared" si="25"/>
        <v>28935.191420108862</v>
      </c>
      <c r="K34" s="87">
        <f t="shared" si="33"/>
        <v>121054.04807533578</v>
      </c>
      <c r="L34" s="87">
        <f t="shared" si="26"/>
        <v>298032.47162712127</v>
      </c>
      <c r="M34" s="87">
        <f t="shared" si="34"/>
        <v>1246856.6951759586</v>
      </c>
      <c r="N34" s="82">
        <f t="shared" si="19"/>
        <v>39.132074981830733</v>
      </c>
      <c r="O34" s="82">
        <f t="shared" si="35"/>
        <v>163.71400546001155</v>
      </c>
      <c r="P34" s="82">
        <f t="shared" si="20"/>
        <v>403.06037231285649</v>
      </c>
      <c r="Q34" s="139">
        <f t="shared" si="36"/>
        <v>1686.2542562381188</v>
      </c>
      <c r="R34" s="82">
        <f t="shared" si="21"/>
        <v>4.3330564457185332</v>
      </c>
      <c r="S34" s="139">
        <f t="shared" si="37"/>
        <v>18.127891938832089</v>
      </c>
      <c r="T34" s="82">
        <f t="shared" si="22"/>
        <v>44.63048139090089</v>
      </c>
      <c r="U34" s="155">
        <f t="shared" si="38"/>
        <v>186.7172869699705</v>
      </c>
    </row>
    <row r="35" spans="1:21" x14ac:dyDescent="0.25">
      <c r="A35">
        <v>5</v>
      </c>
      <c r="B35" s="87">
        <f t="shared" si="27"/>
        <v>10713.601102051318</v>
      </c>
      <c r="C35" s="87">
        <f t="shared" si="28"/>
        <v>56879.96326495611</v>
      </c>
      <c r="D35" s="87">
        <f t="shared" si="29"/>
        <v>195758.91933668169</v>
      </c>
      <c r="E35" s="87">
        <f t="shared" si="30"/>
        <v>1039310.6887772782</v>
      </c>
      <c r="F35" s="87">
        <f t="shared" si="23"/>
        <v>139384.21000710758</v>
      </c>
      <c r="G35" s="87">
        <f t="shared" si="31"/>
        <v>740009.70069729513</v>
      </c>
      <c r="H35" s="87">
        <f t="shared" si="24"/>
        <v>1435657.3630732081</v>
      </c>
      <c r="I35" s="87">
        <f t="shared" si="32"/>
        <v>7622099.9171821391</v>
      </c>
      <c r="J35" s="87">
        <f t="shared" si="25"/>
        <v>28092.418854474625</v>
      </c>
      <c r="K35" s="87">
        <f t="shared" si="33"/>
        <v>149146.46692981041</v>
      </c>
      <c r="L35" s="87">
        <f t="shared" si="26"/>
        <v>289351.91420108866</v>
      </c>
      <c r="M35" s="87">
        <f t="shared" si="34"/>
        <v>1536208.6093770473</v>
      </c>
      <c r="N35" s="82">
        <f t="shared" si="19"/>
        <v>37.992305807602655</v>
      </c>
      <c r="O35" s="82">
        <f t="shared" si="35"/>
        <v>201.70631126761421</v>
      </c>
      <c r="P35" s="82">
        <f t="shared" si="20"/>
        <v>391.32074981830732</v>
      </c>
      <c r="Q35" s="139">
        <f t="shared" si="36"/>
        <v>2077.575006056426</v>
      </c>
      <c r="R35" s="82">
        <f t="shared" si="21"/>
        <v>4.206850918173334</v>
      </c>
      <c r="S35" s="139">
        <f t="shared" si="37"/>
        <v>22.334742857005423</v>
      </c>
      <c r="T35" s="82">
        <f t="shared" si="22"/>
        <v>43.330564457185332</v>
      </c>
      <c r="U35" s="155">
        <f t="shared" si="38"/>
        <v>230.04785142715582</v>
      </c>
    </row>
    <row r="36" spans="1:21" x14ac:dyDescent="0.25">
      <c r="A36">
        <v>6</v>
      </c>
      <c r="B36" s="87">
        <f t="shared" si="27"/>
        <v>10401.554468010987</v>
      </c>
      <c r="C36" s="87">
        <f t="shared" si="28"/>
        <v>67281.517732967099</v>
      </c>
      <c r="D36" s="87">
        <f t="shared" si="29"/>
        <v>190057.20323949677</v>
      </c>
      <c r="E36" s="87">
        <f t="shared" si="30"/>
        <v>1229367.892016775</v>
      </c>
      <c r="F36" s="87">
        <f t="shared" si="23"/>
        <v>135324.47573505589</v>
      </c>
      <c r="G36" s="87">
        <f t="shared" si="31"/>
        <v>875334.176432351</v>
      </c>
      <c r="H36" s="87">
        <f t="shared" si="24"/>
        <v>1393842.1000710758</v>
      </c>
      <c r="I36" s="87">
        <f t="shared" si="32"/>
        <v>9015942.0172532145</v>
      </c>
      <c r="J36" s="87">
        <f t="shared" si="25"/>
        <v>27274.193062596722</v>
      </c>
      <c r="K36" s="87">
        <f t="shared" si="33"/>
        <v>176420.65999240713</v>
      </c>
      <c r="L36" s="87">
        <f t="shared" si="26"/>
        <v>280924.18854474626</v>
      </c>
      <c r="M36" s="87">
        <f t="shared" si="34"/>
        <v>1817132.7979217935</v>
      </c>
      <c r="N36" s="82">
        <f t="shared" si="19"/>
        <v>36.885733793788987</v>
      </c>
      <c r="O36" s="82">
        <f t="shared" si="35"/>
        <v>238.59204506140321</v>
      </c>
      <c r="P36" s="82">
        <f t="shared" si="20"/>
        <v>379.92305807602651</v>
      </c>
      <c r="Q36" s="139">
        <f t="shared" si="36"/>
        <v>2457.4980641324523</v>
      </c>
      <c r="R36" s="82">
        <f t="shared" si="21"/>
        <v>4.0843212797799353</v>
      </c>
      <c r="S36" s="139">
        <f t="shared" si="37"/>
        <v>26.419064136785359</v>
      </c>
      <c r="T36" s="82">
        <f t="shared" si="22"/>
        <v>42.068509181733326</v>
      </c>
      <c r="U36" s="155">
        <f t="shared" si="38"/>
        <v>272.11636060888912</v>
      </c>
    </row>
    <row r="37" spans="1:21" x14ac:dyDescent="0.25">
      <c r="A37">
        <v>7</v>
      </c>
      <c r="B37" s="87">
        <f t="shared" si="27"/>
        <v>10098.596570884454</v>
      </c>
      <c r="C37" s="87">
        <f t="shared" si="28"/>
        <v>77380.114303851558</v>
      </c>
      <c r="D37" s="87">
        <f t="shared" si="29"/>
        <v>184521.55654320074</v>
      </c>
      <c r="E37" s="87">
        <f t="shared" si="30"/>
        <v>1413889.4485599757</v>
      </c>
      <c r="F37" s="87">
        <f t="shared" si="23"/>
        <v>131382.98615053971</v>
      </c>
      <c r="G37" s="87">
        <f t="shared" si="31"/>
        <v>1006717.1625828907</v>
      </c>
      <c r="H37" s="87">
        <f t="shared" si="24"/>
        <v>1353244.7573505589</v>
      </c>
      <c r="I37" s="87">
        <f t="shared" si="32"/>
        <v>10369186.774603773</v>
      </c>
      <c r="J37" s="87">
        <f t="shared" si="25"/>
        <v>26479.79908989973</v>
      </c>
      <c r="K37" s="87">
        <f t="shared" si="33"/>
        <v>202900.45908230686</v>
      </c>
      <c r="L37" s="87">
        <f t="shared" si="26"/>
        <v>272741.93062596722</v>
      </c>
      <c r="M37" s="87">
        <f t="shared" si="34"/>
        <v>2089874.7285477608</v>
      </c>
      <c r="N37" s="82">
        <f t="shared" si="19"/>
        <v>35.811392032804839</v>
      </c>
      <c r="O37" s="82">
        <f t="shared" si="35"/>
        <v>274.40343709420807</v>
      </c>
      <c r="P37" s="82">
        <f t="shared" si="20"/>
        <v>368.85733793788978</v>
      </c>
      <c r="Q37" s="139">
        <f t="shared" si="36"/>
        <v>2826.3554020703423</v>
      </c>
      <c r="R37" s="82">
        <f t="shared" si="21"/>
        <v>3.9653604658057624</v>
      </c>
      <c r="S37" s="139">
        <f t="shared" si="37"/>
        <v>30.384424602591121</v>
      </c>
      <c r="T37" s="82">
        <f t="shared" si="22"/>
        <v>40.843212797799346</v>
      </c>
      <c r="U37" s="155">
        <f t="shared" si="38"/>
        <v>312.95957340668849</v>
      </c>
    </row>
    <row r="38" spans="1:21" x14ac:dyDescent="0.25">
      <c r="A38">
        <v>8</v>
      </c>
      <c r="B38" s="87">
        <f t="shared" si="27"/>
        <v>9804.4626901790816</v>
      </c>
      <c r="C38" s="87">
        <f t="shared" si="28"/>
        <v>87184.576994030635</v>
      </c>
      <c r="D38" s="87">
        <f t="shared" si="29"/>
        <v>179147.14227495217</v>
      </c>
      <c r="E38" s="87">
        <f t="shared" si="30"/>
        <v>1593036.590834928</v>
      </c>
      <c r="F38" s="87">
        <f t="shared" si="23"/>
        <v>127556.29723353371</v>
      </c>
      <c r="G38" s="87">
        <f t="shared" si="31"/>
        <v>1134273.4598164244</v>
      </c>
      <c r="H38" s="87">
        <f t="shared" si="24"/>
        <v>1313829.8615053971</v>
      </c>
      <c r="I38" s="87">
        <f t="shared" si="32"/>
        <v>11683016.63610917</v>
      </c>
      <c r="J38" s="87">
        <f t="shared" si="25"/>
        <v>25708.542805727895</v>
      </c>
      <c r="K38" s="87">
        <f t="shared" si="33"/>
        <v>228609.00188803475</v>
      </c>
      <c r="L38" s="87">
        <f t="shared" si="26"/>
        <v>264797.99089899735</v>
      </c>
      <c r="M38" s="87">
        <f t="shared" si="34"/>
        <v>2354672.7194467583</v>
      </c>
      <c r="N38" s="82">
        <f t="shared" si="19"/>
        <v>34.768341779422173</v>
      </c>
      <c r="O38" s="82">
        <f t="shared" si="35"/>
        <v>309.17177887363027</v>
      </c>
      <c r="P38" s="82">
        <f t="shared" si="20"/>
        <v>358.11392032804838</v>
      </c>
      <c r="Q38" s="139">
        <f t="shared" si="36"/>
        <v>3184.4693223983904</v>
      </c>
      <c r="R38" s="82">
        <f t="shared" si="21"/>
        <v>3.8498645299085075</v>
      </c>
      <c r="S38" s="139">
        <f t="shared" si="37"/>
        <v>34.234289132499626</v>
      </c>
      <c r="T38" s="82">
        <f t="shared" si="22"/>
        <v>39.653604658057624</v>
      </c>
      <c r="U38" s="155">
        <f t="shared" si="38"/>
        <v>352.61317806474614</v>
      </c>
    </row>
    <row r="39" spans="1:21" x14ac:dyDescent="0.25">
      <c r="A39">
        <v>9</v>
      </c>
      <c r="B39" s="87">
        <f t="shared" si="27"/>
        <v>9518.8958157078469</v>
      </c>
      <c r="C39" s="87">
        <f t="shared" si="28"/>
        <v>96703.47280973848</v>
      </c>
      <c r="D39" s="87">
        <f t="shared" si="29"/>
        <v>173929.26434461377</v>
      </c>
      <c r="E39" s="87">
        <f t="shared" si="30"/>
        <v>1766965.8551795417</v>
      </c>
      <c r="F39" s="87">
        <f t="shared" si="23"/>
        <v>123841.06527527544</v>
      </c>
      <c r="G39" s="87">
        <f t="shared" si="31"/>
        <v>1258114.5250916998</v>
      </c>
      <c r="H39" s="87">
        <f t="shared" si="24"/>
        <v>1275562.972335337</v>
      </c>
      <c r="I39" s="87">
        <f t="shared" si="32"/>
        <v>12958579.608444506</v>
      </c>
      <c r="J39" s="87">
        <f t="shared" si="25"/>
        <v>24959.750296823197</v>
      </c>
      <c r="K39" s="87">
        <f t="shared" si="33"/>
        <v>253568.75218485793</v>
      </c>
      <c r="L39" s="87">
        <f t="shared" si="26"/>
        <v>257085.42805727894</v>
      </c>
      <c r="M39" s="87">
        <f t="shared" si="34"/>
        <v>2611758.1475040372</v>
      </c>
      <c r="N39" s="82">
        <f t="shared" si="19"/>
        <v>33.755671630506967</v>
      </c>
      <c r="O39" s="82">
        <f t="shared" si="35"/>
        <v>342.92745050413725</v>
      </c>
      <c r="P39" s="82">
        <f t="shared" si="20"/>
        <v>347.68341779422167</v>
      </c>
      <c r="Q39" s="139">
        <f t="shared" si="36"/>
        <v>3532.1527401926123</v>
      </c>
      <c r="R39" s="82">
        <f t="shared" si="21"/>
        <v>3.7377325533092303</v>
      </c>
      <c r="S39" s="139">
        <f t="shared" si="37"/>
        <v>37.972021685808855</v>
      </c>
      <c r="T39" s="82">
        <f t="shared" si="22"/>
        <v>38.498645299085069</v>
      </c>
      <c r="U39" s="155">
        <f t="shared" si="38"/>
        <v>391.11182336383121</v>
      </c>
    </row>
    <row r="40" spans="1:21" x14ac:dyDescent="0.25">
      <c r="A40">
        <v>10</v>
      </c>
      <c r="B40" s="87">
        <f t="shared" si="27"/>
        <v>9241.646423017326</v>
      </c>
      <c r="C40" s="87">
        <f t="shared" si="28"/>
        <v>105945.11923275581</v>
      </c>
      <c r="D40" s="87">
        <f t="shared" si="29"/>
        <v>168863.36344137258</v>
      </c>
      <c r="E40" s="87">
        <f t="shared" si="30"/>
        <v>1935829.2186209143</v>
      </c>
      <c r="F40" s="87">
        <f t="shared" si="23"/>
        <v>120234.0439565781</v>
      </c>
      <c r="G40" s="87">
        <f t="shared" si="31"/>
        <v>1378348.5690482778</v>
      </c>
      <c r="H40" s="87">
        <f t="shared" si="24"/>
        <v>1238410.6527527543</v>
      </c>
      <c r="I40" s="87">
        <f t="shared" si="32"/>
        <v>14196990.261197262</v>
      </c>
      <c r="J40" s="87">
        <f t="shared" si="25"/>
        <v>24232.767278469124</v>
      </c>
      <c r="K40" s="87">
        <f t="shared" si="33"/>
        <v>277801.51946332707</v>
      </c>
      <c r="L40" s="87">
        <f t="shared" si="26"/>
        <v>249597.502968232</v>
      </c>
      <c r="M40" s="87">
        <f t="shared" si="34"/>
        <v>2861355.6504722694</v>
      </c>
      <c r="N40" s="82">
        <f t="shared" si="19"/>
        <v>32.772496728647539</v>
      </c>
      <c r="O40" s="82">
        <f t="shared" si="35"/>
        <v>375.69994723278478</v>
      </c>
      <c r="P40" s="82">
        <f t="shared" si="20"/>
        <v>337.55671630506959</v>
      </c>
      <c r="Q40" s="139">
        <f t="shared" si="36"/>
        <v>3869.7094564976819</v>
      </c>
      <c r="R40" s="82">
        <f t="shared" si="21"/>
        <v>3.6288665566109035</v>
      </c>
      <c r="S40" s="139">
        <f t="shared" si="37"/>
        <v>41.600888242419757</v>
      </c>
      <c r="T40" s="82">
        <f t="shared" si="22"/>
        <v>37.377325533092296</v>
      </c>
      <c r="U40" s="155">
        <f t="shared" si="38"/>
        <v>428.4891488969235</v>
      </c>
    </row>
    <row r="41" spans="1:21" x14ac:dyDescent="0.25">
      <c r="D41" s="85"/>
    </row>
    <row r="42" spans="1:21" s="67" customFormat="1" ht="18.75" x14ac:dyDescent="0.3">
      <c r="A42" s="67" t="str">
        <f>Summary!B13</f>
        <v>Fluoride Varnish</v>
      </c>
      <c r="B42" s="942" t="s">
        <v>150</v>
      </c>
      <c r="C42" s="942"/>
      <c r="D42" s="942"/>
      <c r="E42" s="942"/>
      <c r="F42" s="962" t="s">
        <v>152</v>
      </c>
      <c r="G42" s="962"/>
      <c r="H42" s="962"/>
      <c r="I42" s="962"/>
      <c r="J42" s="962"/>
      <c r="K42" s="962"/>
      <c r="L42" s="962"/>
      <c r="M42" s="962"/>
      <c r="N42" s="961" t="s">
        <v>151</v>
      </c>
      <c r="O42" s="961"/>
      <c r="P42" s="961"/>
      <c r="Q42" s="961"/>
      <c r="R42" s="961"/>
      <c r="S42" s="961"/>
      <c r="T42" s="961"/>
      <c r="U42" s="961"/>
    </row>
    <row r="43" spans="1:21" x14ac:dyDescent="0.25">
      <c r="A43" s="215" t="s">
        <v>58</v>
      </c>
      <c r="B43" t="s">
        <v>57</v>
      </c>
      <c r="C43" t="s">
        <v>61</v>
      </c>
      <c r="D43" t="s">
        <v>59</v>
      </c>
      <c r="E43" t="s">
        <v>61</v>
      </c>
      <c r="F43" t="s">
        <v>63</v>
      </c>
      <c r="G43" t="s">
        <v>61</v>
      </c>
      <c r="H43" t="s">
        <v>64</v>
      </c>
      <c r="I43" t="s">
        <v>61</v>
      </c>
      <c r="J43" t="s">
        <v>65</v>
      </c>
      <c r="K43" t="s">
        <v>61</v>
      </c>
      <c r="L43" t="s">
        <v>66</v>
      </c>
      <c r="M43" t="s">
        <v>67</v>
      </c>
      <c r="N43" t="s">
        <v>90</v>
      </c>
      <c r="O43" t="s">
        <v>89</v>
      </c>
      <c r="P43" t="s">
        <v>91</v>
      </c>
      <c r="Q43" t="s">
        <v>89</v>
      </c>
      <c r="R43" t="s">
        <v>92</v>
      </c>
      <c r="S43" t="s">
        <v>89</v>
      </c>
      <c r="T43" t="s">
        <v>66</v>
      </c>
      <c r="U43" t="s">
        <v>89</v>
      </c>
    </row>
    <row r="44" spans="1:21" x14ac:dyDescent="0.25">
      <c r="A44">
        <v>1</v>
      </c>
      <c r="B44" s="87">
        <f>$B$11/(1+$E$3)^A44</f>
        <v>61090.441747572811</v>
      </c>
      <c r="C44" s="85">
        <f>B44</f>
        <v>61090.441747572811</v>
      </c>
      <c r="D44" s="137">
        <f>$D$11/(1+$E$3)^A44</f>
        <v>142500</v>
      </c>
      <c r="E44" s="85">
        <f>D44</f>
        <v>142500</v>
      </c>
      <c r="F44" s="87">
        <f>$F$11/(1+$E$3)^A44</f>
        <v>253128.93902642882</v>
      </c>
      <c r="G44" s="87">
        <f>F44</f>
        <v>253128.93902642882</v>
      </c>
      <c r="H44" s="87">
        <f>$H$11/(1+$E$3)^A44</f>
        <v>497183.08008623502</v>
      </c>
      <c r="I44" s="87">
        <f>H44</f>
        <v>497183.08008623502</v>
      </c>
      <c r="J44" s="87">
        <f>$J$11/(1+$E$3)^A44</f>
        <v>178560.50284568168</v>
      </c>
      <c r="K44" s="87">
        <f>J44</f>
        <v>178560.50284568168</v>
      </c>
      <c r="L44" s="87">
        <f>$L$11/(1+$E$3)^A44</f>
        <v>350719.52313320391</v>
      </c>
      <c r="M44" s="87">
        <f>L44</f>
        <v>350719.52313320391</v>
      </c>
      <c r="N44" s="82">
        <f t="shared" ref="N44:N53" si="39">$O$11/(1+$E$3)^A44</f>
        <v>172.48998397586956</v>
      </c>
      <c r="O44" s="82">
        <f>N44</f>
        <v>172.48998397586956</v>
      </c>
      <c r="P44" s="82">
        <f t="shared" ref="P44:P53" si="40">$Q$11/(1+$E$3)^A44</f>
        <v>338.79611650485435</v>
      </c>
      <c r="Q44" s="139">
        <f>P44</f>
        <v>338.79611650485435</v>
      </c>
      <c r="R44" s="82">
        <f t="shared" ref="R44:R53" si="41">$S$11/(1+$E$3)^A44</f>
        <v>19.099647469129984</v>
      </c>
      <c r="S44" s="82">
        <f>R44</f>
        <v>19.099647469129984</v>
      </c>
      <c r="T44" s="82">
        <f t="shared" ref="T44:T53" si="42">$U$11/(1+$E$3)^A44</f>
        <v>37.514563106796118</v>
      </c>
      <c r="U44" s="156">
        <f>T44</f>
        <v>37.514563106796118</v>
      </c>
    </row>
    <row r="45" spans="1:21" x14ac:dyDescent="0.25">
      <c r="A45">
        <v>2</v>
      </c>
      <c r="B45" s="87">
        <f>$B$11/(1+$E$3)^A45</f>
        <v>59311.108492789142</v>
      </c>
      <c r="C45" s="85">
        <f>C44+B45</f>
        <v>120401.55024036195</v>
      </c>
      <c r="D45" s="137">
        <f t="shared" ref="D45:D53" si="43">$D$11/(1+$E$3)^A45</f>
        <v>138349.51456310682</v>
      </c>
      <c r="E45" s="85">
        <f>E44+D45</f>
        <v>280849.51456310682</v>
      </c>
      <c r="F45" s="87">
        <f t="shared" ref="F45:F53" si="44">$F$11/(1+$E$3)^A45</f>
        <v>245756.25148196975</v>
      </c>
      <c r="G45" s="87">
        <f>G44+F45</f>
        <v>498885.19050839858</v>
      </c>
      <c r="H45" s="87">
        <f t="shared" ref="H45:H53" si="45">$H$11/(1+$E$3)^A45</f>
        <v>482702.01950119907</v>
      </c>
      <c r="I45" s="87">
        <f>I44+H45</f>
        <v>979885.09958743409</v>
      </c>
      <c r="J45" s="87">
        <f t="shared" ref="J45:J53" si="46">$J$11/(1+$E$3)^A45</f>
        <v>173359.71150066183</v>
      </c>
      <c r="K45" s="87">
        <f>K44+J45</f>
        <v>351920.21434634353</v>
      </c>
      <c r="L45" s="87">
        <f t="shared" ref="L45:L53" si="47">$L$11/(1+$E$3)^A45</f>
        <v>340504.39139146009</v>
      </c>
      <c r="M45" s="87">
        <f>M44+L45</f>
        <v>691223.91452466394</v>
      </c>
      <c r="N45" s="82">
        <f t="shared" si="39"/>
        <v>167.46600386006756</v>
      </c>
      <c r="O45" s="82">
        <f>O44+N45</f>
        <v>339.95598783593709</v>
      </c>
      <c r="P45" s="82">
        <f t="shared" si="40"/>
        <v>328.92826845131492</v>
      </c>
      <c r="Q45" s="139">
        <f>Q44+P45</f>
        <v>667.72438495616927</v>
      </c>
      <c r="R45" s="82">
        <f t="shared" si="41"/>
        <v>18.54334705740775</v>
      </c>
      <c r="S45" s="82">
        <f>S44+R45</f>
        <v>37.642994526537734</v>
      </c>
      <c r="T45" s="82">
        <f t="shared" si="42"/>
        <v>36.421905928928268</v>
      </c>
      <c r="U45" s="156">
        <f>U44+T45</f>
        <v>73.936469035724386</v>
      </c>
    </row>
    <row r="46" spans="1:21" x14ac:dyDescent="0.25">
      <c r="A46">
        <v>3</v>
      </c>
      <c r="B46" s="87">
        <f t="shared" ref="B46:B53" si="48">$B$11/(1+$E$3)^A46</f>
        <v>57583.600478436056</v>
      </c>
      <c r="C46" s="85">
        <f t="shared" ref="C46:C53" si="49">C45+B46</f>
        <v>177985.15071879799</v>
      </c>
      <c r="D46" s="137">
        <f t="shared" si="43"/>
        <v>134319.91705155998</v>
      </c>
      <c r="E46" s="85">
        <f t="shared" ref="E46:E53" si="50">E45+D46</f>
        <v>415169.43161466683</v>
      </c>
      <c r="F46" s="87">
        <f t="shared" si="44"/>
        <v>238598.30240967937</v>
      </c>
      <c r="G46" s="87">
        <f t="shared" ref="G46:G53" si="51">G45+F46</f>
        <v>737483.49291807797</v>
      </c>
      <c r="H46" s="87">
        <f t="shared" si="45"/>
        <v>468642.73737980495</v>
      </c>
      <c r="I46" s="87">
        <f t="shared" ref="I46:I53" si="52">I45+H46</f>
        <v>1448527.8369672392</v>
      </c>
      <c r="J46" s="87">
        <f t="shared" si="46"/>
        <v>168310.39951520565</v>
      </c>
      <c r="K46" s="87">
        <f t="shared" ref="K46:K53" si="53">K45+J46</f>
        <v>520230.61386154918</v>
      </c>
      <c r="L46" s="87">
        <f t="shared" si="47"/>
        <v>330586.78775869915</v>
      </c>
      <c r="M46" s="87">
        <f t="shared" ref="M46:M53" si="54">M45+L46</f>
        <v>1021810.7022833631</v>
      </c>
      <c r="N46" s="82">
        <f t="shared" si="39"/>
        <v>162.58835326220151</v>
      </c>
      <c r="O46" s="82">
        <f t="shared" ref="O46:O53" si="55">O45+N46</f>
        <v>502.5443410981386</v>
      </c>
      <c r="P46" s="82">
        <f t="shared" si="40"/>
        <v>319.34783344787854</v>
      </c>
      <c r="Q46" s="139">
        <f t="shared" ref="Q46:Q53" si="56">Q45+P46</f>
        <v>987.07221840404782</v>
      </c>
      <c r="R46" s="82">
        <f t="shared" si="41"/>
        <v>18.003249570298788</v>
      </c>
      <c r="S46" s="139">
        <f t="shared" ref="S46:S53" si="57">S45+R46</f>
        <v>55.646244096836526</v>
      </c>
      <c r="T46" s="82">
        <f t="shared" si="42"/>
        <v>35.361073717406086</v>
      </c>
      <c r="U46" s="155">
        <f t="shared" ref="U46:U53" si="58">U45+T46</f>
        <v>109.29754275313047</v>
      </c>
    </row>
    <row r="47" spans="1:21" x14ac:dyDescent="0.25">
      <c r="A47">
        <v>4</v>
      </c>
      <c r="B47" s="87">
        <f t="shared" si="48"/>
        <v>55906.408231491325</v>
      </c>
      <c r="C47" s="85">
        <f t="shared" si="49"/>
        <v>233891.55895028933</v>
      </c>
      <c r="D47" s="137">
        <f t="shared" si="43"/>
        <v>130407.68645782524</v>
      </c>
      <c r="E47" s="85">
        <f t="shared" si="50"/>
        <v>545577.11807249207</v>
      </c>
      <c r="F47" s="87">
        <f t="shared" si="44"/>
        <v>231648.83729095085</v>
      </c>
      <c r="G47" s="87">
        <f t="shared" si="51"/>
        <v>969132.33020902879</v>
      </c>
      <c r="H47" s="87">
        <f t="shared" si="45"/>
        <v>454992.94891243201</v>
      </c>
      <c r="I47" s="87">
        <f t="shared" si="52"/>
        <v>1903520.7858796711</v>
      </c>
      <c r="J47" s="87">
        <f t="shared" si="46"/>
        <v>163408.15486913171</v>
      </c>
      <c r="K47" s="87">
        <f t="shared" si="53"/>
        <v>683638.76873068092</v>
      </c>
      <c r="L47" s="87">
        <f t="shared" si="47"/>
        <v>320958.04636766907</v>
      </c>
      <c r="M47" s="87">
        <f t="shared" si="54"/>
        <v>1342768.7486510321</v>
      </c>
      <c r="N47" s="82">
        <f t="shared" si="39"/>
        <v>157.85277015747718</v>
      </c>
      <c r="O47" s="82">
        <f t="shared" si="55"/>
        <v>660.39711125561575</v>
      </c>
      <c r="P47" s="82">
        <f t="shared" si="40"/>
        <v>310.0464402406588</v>
      </c>
      <c r="Q47" s="139">
        <f t="shared" si="56"/>
        <v>1297.1186586447066</v>
      </c>
      <c r="R47" s="82">
        <f t="shared" si="41"/>
        <v>17.478883077959988</v>
      </c>
      <c r="S47" s="139">
        <f t="shared" si="57"/>
        <v>73.125127174796518</v>
      </c>
      <c r="T47" s="82">
        <f t="shared" si="42"/>
        <v>34.33113953146222</v>
      </c>
      <c r="U47" s="155">
        <f t="shared" si="58"/>
        <v>143.62868228459268</v>
      </c>
    </row>
    <row r="48" spans="1:21" x14ac:dyDescent="0.25">
      <c r="A48">
        <v>5</v>
      </c>
      <c r="B48" s="87">
        <f t="shared" si="48"/>
        <v>54278.066244166337</v>
      </c>
      <c r="C48" s="85">
        <f t="shared" si="49"/>
        <v>288169.62519445567</v>
      </c>
      <c r="D48" s="137">
        <f t="shared" si="43"/>
        <v>126609.40432798569</v>
      </c>
      <c r="E48" s="85">
        <f t="shared" si="50"/>
        <v>672186.52240047778</v>
      </c>
      <c r="F48" s="87">
        <f t="shared" si="44"/>
        <v>224901.78377762221</v>
      </c>
      <c r="G48" s="87">
        <f t="shared" si="51"/>
        <v>1194034.1139866509</v>
      </c>
      <c r="H48" s="87">
        <f t="shared" si="45"/>
        <v>441740.72709944856</v>
      </c>
      <c r="I48" s="87">
        <f t="shared" si="52"/>
        <v>2345261.5129791196</v>
      </c>
      <c r="J48" s="87">
        <f t="shared" si="46"/>
        <v>158648.6940477007</v>
      </c>
      <c r="K48" s="87">
        <f t="shared" si="53"/>
        <v>842287.46277838165</v>
      </c>
      <c r="L48" s="87">
        <f t="shared" si="47"/>
        <v>311609.75375501852</v>
      </c>
      <c r="M48" s="87">
        <f t="shared" si="54"/>
        <v>1654378.5024060507</v>
      </c>
      <c r="N48" s="82">
        <f t="shared" si="39"/>
        <v>153.25511665774485</v>
      </c>
      <c r="O48" s="82">
        <f t="shared" si="55"/>
        <v>813.65222791336055</v>
      </c>
      <c r="P48" s="82">
        <f t="shared" si="40"/>
        <v>301.01596139869787</v>
      </c>
      <c r="Q48" s="139">
        <f t="shared" si="56"/>
        <v>1598.1346200434045</v>
      </c>
      <c r="R48" s="82">
        <f t="shared" si="41"/>
        <v>16.969789396077662</v>
      </c>
      <c r="S48" s="139">
        <f t="shared" si="57"/>
        <v>90.094916570874176</v>
      </c>
      <c r="T48" s="82">
        <f t="shared" si="42"/>
        <v>33.331203428604098</v>
      </c>
      <c r="U48" s="155">
        <f t="shared" si="58"/>
        <v>176.9598857131968</v>
      </c>
    </row>
    <row r="49" spans="1:21" x14ac:dyDescent="0.25">
      <c r="A49">
        <v>6</v>
      </c>
      <c r="B49" s="87">
        <f t="shared" si="48"/>
        <v>52697.151693365369</v>
      </c>
      <c r="C49" s="85">
        <f t="shared" si="49"/>
        <v>340866.77688782103</v>
      </c>
      <c r="D49" s="137">
        <f t="shared" si="43"/>
        <v>122921.75177474337</v>
      </c>
      <c r="E49" s="85">
        <f t="shared" si="50"/>
        <v>795108.2741752211</v>
      </c>
      <c r="F49" s="87">
        <f t="shared" si="44"/>
        <v>218351.24638604096</v>
      </c>
      <c r="G49" s="87">
        <f t="shared" si="51"/>
        <v>1412385.3603726919</v>
      </c>
      <c r="H49" s="87">
        <f t="shared" si="45"/>
        <v>428874.49232956168</v>
      </c>
      <c r="I49" s="87">
        <f t="shared" si="52"/>
        <v>2774136.0053086812</v>
      </c>
      <c r="J49" s="87">
        <f t="shared" si="46"/>
        <v>154027.85829873855</v>
      </c>
      <c r="K49" s="87">
        <f t="shared" si="53"/>
        <v>996315.32107712026</v>
      </c>
      <c r="L49" s="87">
        <f t="shared" si="47"/>
        <v>302533.74150972674</v>
      </c>
      <c r="M49" s="87">
        <f t="shared" si="54"/>
        <v>1956912.2439157774</v>
      </c>
      <c r="N49" s="82">
        <f t="shared" si="39"/>
        <v>148.79137539586878</v>
      </c>
      <c r="O49" s="82">
        <f t="shared" si="55"/>
        <v>962.44360330922927</v>
      </c>
      <c r="P49" s="82">
        <f t="shared" si="40"/>
        <v>292.24850621232804</v>
      </c>
      <c r="Q49" s="139">
        <f t="shared" si="56"/>
        <v>1890.3831262557326</v>
      </c>
      <c r="R49" s="82">
        <f t="shared" si="41"/>
        <v>16.47552368551229</v>
      </c>
      <c r="S49" s="139">
        <f t="shared" si="57"/>
        <v>106.57044025638646</v>
      </c>
      <c r="T49" s="82">
        <f t="shared" si="42"/>
        <v>32.360391678256406</v>
      </c>
      <c r="U49" s="155">
        <f t="shared" si="58"/>
        <v>209.3202773914532</v>
      </c>
    </row>
    <row r="50" spans="1:21" x14ac:dyDescent="0.25">
      <c r="A50">
        <v>7</v>
      </c>
      <c r="B50" s="87">
        <f t="shared" si="48"/>
        <v>51162.283197442106</v>
      </c>
      <c r="C50" s="85">
        <f t="shared" si="49"/>
        <v>392029.06008526316</v>
      </c>
      <c r="D50" s="137">
        <f t="shared" si="43"/>
        <v>119341.50657742075</v>
      </c>
      <c r="E50" s="85">
        <f t="shared" si="50"/>
        <v>914449.78075264185</v>
      </c>
      <c r="F50" s="87">
        <f t="shared" si="44"/>
        <v>211991.50134567081</v>
      </c>
      <c r="G50" s="87">
        <f t="shared" si="51"/>
        <v>1624376.8617183627</v>
      </c>
      <c r="H50" s="87">
        <f t="shared" si="45"/>
        <v>416383.00226171035</v>
      </c>
      <c r="I50" s="87">
        <f t="shared" si="52"/>
        <v>3190519.0075703915</v>
      </c>
      <c r="J50" s="87">
        <f t="shared" si="46"/>
        <v>149541.60999877527</v>
      </c>
      <c r="K50" s="87">
        <f t="shared" si="53"/>
        <v>1145856.9310758954</v>
      </c>
      <c r="L50" s="87">
        <f t="shared" si="47"/>
        <v>293722.079135657</v>
      </c>
      <c r="M50" s="87">
        <f t="shared" si="54"/>
        <v>2250634.3230514345</v>
      </c>
      <c r="N50" s="82">
        <f t="shared" si="39"/>
        <v>144.45764601540657</v>
      </c>
      <c r="O50" s="82">
        <f t="shared" si="55"/>
        <v>1106.901249324636</v>
      </c>
      <c r="P50" s="82">
        <f t="shared" si="40"/>
        <v>283.7364137983767</v>
      </c>
      <c r="Q50" s="139">
        <f t="shared" si="56"/>
        <v>2174.1195400541092</v>
      </c>
      <c r="R50" s="82">
        <f t="shared" si="41"/>
        <v>15.995654063604166</v>
      </c>
      <c r="S50" s="139">
        <f t="shared" si="57"/>
        <v>122.56609431999063</v>
      </c>
      <c r="T50" s="82">
        <f t="shared" si="42"/>
        <v>31.417855998307189</v>
      </c>
      <c r="U50" s="155">
        <f t="shared" si="58"/>
        <v>240.73813338976038</v>
      </c>
    </row>
    <row r="51" spans="1:21" x14ac:dyDescent="0.25">
      <c r="A51">
        <v>8</v>
      </c>
      <c r="B51" s="87">
        <f t="shared" si="48"/>
        <v>49672.119609167101</v>
      </c>
      <c r="C51" s="85">
        <f t="shared" si="49"/>
        <v>441701.17969443026</v>
      </c>
      <c r="D51" s="137">
        <f t="shared" si="43"/>
        <v>115865.54036642793</v>
      </c>
      <c r="E51" s="85">
        <f t="shared" si="50"/>
        <v>1030315.3211190698</v>
      </c>
      <c r="F51" s="87">
        <f t="shared" si="44"/>
        <v>205816.9915977387</v>
      </c>
      <c r="G51" s="87">
        <f t="shared" si="51"/>
        <v>1830193.8533161012</v>
      </c>
      <c r="H51" s="87">
        <f t="shared" si="45"/>
        <v>404255.34200166061</v>
      </c>
      <c r="I51" s="87">
        <f t="shared" si="52"/>
        <v>3594774.3495720522</v>
      </c>
      <c r="J51" s="87">
        <f t="shared" si="46"/>
        <v>145186.02912502454</v>
      </c>
      <c r="K51" s="87">
        <f t="shared" si="53"/>
        <v>1291042.96020092</v>
      </c>
      <c r="L51" s="87">
        <f t="shared" si="47"/>
        <v>285167.06712199713</v>
      </c>
      <c r="M51" s="87">
        <f t="shared" si="54"/>
        <v>2535801.3901734315</v>
      </c>
      <c r="N51" s="82">
        <f t="shared" si="39"/>
        <v>140.25014176253066</v>
      </c>
      <c r="O51" s="82">
        <f t="shared" si="55"/>
        <v>1247.1513910871665</v>
      </c>
      <c r="P51" s="82">
        <f t="shared" si="40"/>
        <v>275.472246406191</v>
      </c>
      <c r="Q51" s="139">
        <f t="shared" si="56"/>
        <v>2449.5917864603002</v>
      </c>
      <c r="R51" s="82">
        <f t="shared" si="41"/>
        <v>15.529761226800161</v>
      </c>
      <c r="S51" s="139">
        <f t="shared" si="57"/>
        <v>138.0958555467908</v>
      </c>
      <c r="T51" s="82">
        <f t="shared" si="42"/>
        <v>30.502772813890481</v>
      </c>
      <c r="U51" s="155">
        <f t="shared" si="58"/>
        <v>271.24090620365087</v>
      </c>
    </row>
    <row r="52" spans="1:21" x14ac:dyDescent="0.25">
      <c r="A52">
        <v>9</v>
      </c>
      <c r="B52" s="87">
        <f t="shared" si="48"/>
        <v>48225.358843851551</v>
      </c>
      <c r="C52" s="85">
        <f t="shared" si="49"/>
        <v>489926.53853828181</v>
      </c>
      <c r="D52" s="137">
        <f t="shared" si="43"/>
        <v>112490.81588973585</v>
      </c>
      <c r="E52" s="85">
        <f t="shared" si="50"/>
        <v>1142806.1370088058</v>
      </c>
      <c r="F52" s="87">
        <f t="shared" si="44"/>
        <v>199822.32193955212</v>
      </c>
      <c r="G52" s="87">
        <f t="shared" si="51"/>
        <v>2030016.1752556534</v>
      </c>
      <c r="H52" s="87">
        <f t="shared" si="45"/>
        <v>392480.91456471902</v>
      </c>
      <c r="I52" s="87">
        <f t="shared" si="52"/>
        <v>3987255.2641367712</v>
      </c>
      <c r="J52" s="87">
        <f t="shared" si="46"/>
        <v>140957.30983012091</v>
      </c>
      <c r="K52" s="87">
        <f t="shared" si="53"/>
        <v>1432000.270031041</v>
      </c>
      <c r="L52" s="87">
        <f t="shared" si="47"/>
        <v>276861.23021553119</v>
      </c>
      <c r="M52" s="87">
        <f t="shared" si="54"/>
        <v>2812662.6203889628</v>
      </c>
      <c r="N52" s="82">
        <f t="shared" si="39"/>
        <v>136.16518617721425</v>
      </c>
      <c r="O52" s="82">
        <f t="shared" si="55"/>
        <v>1383.3165772643808</v>
      </c>
      <c r="P52" s="82">
        <f t="shared" si="40"/>
        <v>267.44878291863205</v>
      </c>
      <c r="Q52" s="139">
        <f t="shared" si="56"/>
        <v>2717.0405693789321</v>
      </c>
      <c r="R52" s="82">
        <f t="shared" si="41"/>
        <v>15.077438084272002</v>
      </c>
      <c r="S52" s="139">
        <f t="shared" si="57"/>
        <v>153.17329363106279</v>
      </c>
      <c r="T52" s="82">
        <f t="shared" si="42"/>
        <v>29.614342537757746</v>
      </c>
      <c r="U52" s="155">
        <f t="shared" si="58"/>
        <v>300.85524874140862</v>
      </c>
    </row>
    <row r="53" spans="1:21" x14ac:dyDescent="0.25">
      <c r="A53">
        <v>10</v>
      </c>
      <c r="B53" s="87">
        <f t="shared" si="48"/>
        <v>46820.736741603447</v>
      </c>
      <c r="C53" s="85">
        <f t="shared" si="49"/>
        <v>536747.27527988527</v>
      </c>
      <c r="D53" s="137">
        <f t="shared" si="43"/>
        <v>109214.38435896684</v>
      </c>
      <c r="E53" s="85">
        <f t="shared" si="50"/>
        <v>1252020.5213677725</v>
      </c>
      <c r="F53" s="87">
        <f t="shared" si="44"/>
        <v>194002.25431024478</v>
      </c>
      <c r="G53" s="87">
        <f t="shared" si="51"/>
        <v>2224018.4295658981</v>
      </c>
      <c r="H53" s="87">
        <f t="shared" si="45"/>
        <v>381049.43161623203</v>
      </c>
      <c r="I53" s="87">
        <f t="shared" si="52"/>
        <v>4368304.6957530035</v>
      </c>
      <c r="J53" s="87">
        <f t="shared" si="46"/>
        <v>136851.75711662226</v>
      </c>
      <c r="K53" s="87">
        <f t="shared" si="53"/>
        <v>1568852.0271476633</v>
      </c>
      <c r="L53" s="87">
        <f t="shared" si="47"/>
        <v>268797.31088886521</v>
      </c>
      <c r="M53" s="87">
        <f t="shared" si="54"/>
        <v>3081459.9312778278</v>
      </c>
      <c r="N53" s="82">
        <f t="shared" si="39"/>
        <v>132.19920988079053</v>
      </c>
      <c r="O53" s="82">
        <f t="shared" si="55"/>
        <v>1515.5157871451713</v>
      </c>
      <c r="P53" s="82">
        <f t="shared" si="40"/>
        <v>259.65901254236121</v>
      </c>
      <c r="Q53" s="139">
        <f t="shared" si="56"/>
        <v>2976.6995819212934</v>
      </c>
      <c r="R53" s="82">
        <f t="shared" si="41"/>
        <v>14.638289402205826</v>
      </c>
      <c r="S53" s="139">
        <f t="shared" si="57"/>
        <v>167.81158303326862</v>
      </c>
      <c r="T53" s="82">
        <f t="shared" si="42"/>
        <v>28.751788871609463</v>
      </c>
      <c r="U53" s="155">
        <f t="shared" si="58"/>
        <v>329.60703761301806</v>
      </c>
    </row>
    <row r="55" spans="1:21" s="67" customFormat="1" ht="18.75" x14ac:dyDescent="0.3">
      <c r="A55" s="67" t="str">
        <f>Summary!B14</f>
        <v>Toothbrush/      Toothpaste</v>
      </c>
      <c r="B55" s="942" t="s">
        <v>150</v>
      </c>
      <c r="C55" s="942"/>
      <c r="D55" s="942"/>
      <c r="E55" s="942"/>
      <c r="F55" s="962" t="s">
        <v>152</v>
      </c>
      <c r="G55" s="962"/>
      <c r="H55" s="962"/>
      <c r="I55" s="962"/>
      <c r="J55" s="962"/>
      <c r="K55" s="962"/>
      <c r="L55" s="962"/>
      <c r="M55" s="962"/>
      <c r="N55" s="961" t="s">
        <v>151</v>
      </c>
      <c r="O55" s="961"/>
      <c r="P55" s="961"/>
      <c r="Q55" s="961"/>
      <c r="R55" s="961"/>
      <c r="S55" s="961"/>
      <c r="T55" s="961"/>
      <c r="U55" s="961"/>
    </row>
    <row r="56" spans="1:21" x14ac:dyDescent="0.25">
      <c r="A56" s="215" t="s">
        <v>58</v>
      </c>
      <c r="B56" t="s">
        <v>57</v>
      </c>
      <c r="C56" t="s">
        <v>61</v>
      </c>
      <c r="D56" t="s">
        <v>59</v>
      </c>
      <c r="E56" t="s">
        <v>61</v>
      </c>
      <c r="F56" t="s">
        <v>63</v>
      </c>
      <c r="G56" t="s">
        <v>61</v>
      </c>
      <c r="H56" t="s">
        <v>64</v>
      </c>
      <c r="I56" t="s">
        <v>61</v>
      </c>
      <c r="J56" t="s">
        <v>65</v>
      </c>
      <c r="K56" t="s">
        <v>61</v>
      </c>
      <c r="L56" t="s">
        <v>66</v>
      </c>
      <c r="M56" t="s">
        <v>67</v>
      </c>
      <c r="N56" t="s">
        <v>90</v>
      </c>
      <c r="O56" t="s">
        <v>89</v>
      </c>
      <c r="P56" t="s">
        <v>91</v>
      </c>
      <c r="Q56" t="s">
        <v>89</v>
      </c>
      <c r="R56" t="s">
        <v>92</v>
      </c>
      <c r="S56" t="s">
        <v>89</v>
      </c>
      <c r="T56" t="s">
        <v>66</v>
      </c>
      <c r="U56" t="s">
        <v>89</v>
      </c>
    </row>
    <row r="57" spans="1:21" x14ac:dyDescent="0.25">
      <c r="A57">
        <v>1</v>
      </c>
      <c r="B57" s="137">
        <f t="shared" ref="B57:B66" si="59">$B$12/(1+$E$3)^A57</f>
        <v>60500.000000000007</v>
      </c>
      <c r="C57" s="85">
        <f>B57</f>
        <v>60500.000000000007</v>
      </c>
      <c r="D57" s="137">
        <f t="shared" ref="D57:D66" si="60">$D$12/(1+$E$3)^A57</f>
        <v>110000</v>
      </c>
      <c r="E57" s="139">
        <f>D57</f>
        <v>110000</v>
      </c>
      <c r="F57" s="87">
        <f t="shared" ref="F57:F66" si="61">$F$12/(1+$E$3)^A57</f>
        <v>319025.80972200091</v>
      </c>
      <c r="G57" s="87">
        <f>F57</f>
        <v>319025.80972200091</v>
      </c>
      <c r="H57" s="87">
        <f t="shared" ref="H57:H66" si="62">$H$12/(1+$E$3)^A57</f>
        <v>580046.92676727439</v>
      </c>
      <c r="I57" s="87">
        <f>H57</f>
        <v>580046.92676727439</v>
      </c>
      <c r="J57" s="87">
        <f t="shared" ref="J57:J66" si="63">$J$12/(1+$E$3)^A57</f>
        <v>225045.02734380588</v>
      </c>
      <c r="K57" s="87">
        <f>J57</f>
        <v>225045.02734380588</v>
      </c>
      <c r="L57" s="87">
        <f t="shared" ref="L57:L66" si="64">$L$12/(1+$E$3)^A57</f>
        <v>409172.77698873787</v>
      </c>
      <c r="M57" s="87">
        <f>L57</f>
        <v>409172.77698873787</v>
      </c>
      <c r="N57" s="82">
        <f t="shared" ref="N57:N66" si="65">$O$12/(1+$E$3)^A57</f>
        <v>217.3941747572816</v>
      </c>
      <c r="O57" s="82">
        <f>N57</f>
        <v>217.3941747572816</v>
      </c>
      <c r="P57" s="82">
        <f t="shared" ref="P57:P66" si="66">$Q$12/(1+$E$3)^A57</f>
        <v>395.26213592233017</v>
      </c>
      <c r="Q57" s="139">
        <f>P57</f>
        <v>395.26213592233017</v>
      </c>
      <c r="R57" s="82">
        <f t="shared" ref="R57:R66" si="67">$S$12/(1+$E$3)^A57</f>
        <v>24.071844660194177</v>
      </c>
      <c r="S57" s="82">
        <f>R57</f>
        <v>24.071844660194177</v>
      </c>
      <c r="T57" s="82">
        <f t="shared" ref="T57:T66" si="68">$U$12/(1+$E$3)^A57</f>
        <v>43.76699029126214</v>
      </c>
      <c r="U57" s="156">
        <f>T57</f>
        <v>43.76699029126214</v>
      </c>
    </row>
    <row r="58" spans="1:21" x14ac:dyDescent="0.25">
      <c r="A58">
        <v>2</v>
      </c>
      <c r="B58" s="137">
        <f t="shared" si="59"/>
        <v>58737.86407766991</v>
      </c>
      <c r="C58" s="85">
        <f>C57+B58</f>
        <v>119237.86407766992</v>
      </c>
      <c r="D58" s="137">
        <f t="shared" si="60"/>
        <v>106796.11650485438</v>
      </c>
      <c r="E58" s="139">
        <f>E57+D58</f>
        <v>216796.11650485438</v>
      </c>
      <c r="F58" s="87">
        <f t="shared" si="61"/>
        <v>309733.79584660288</v>
      </c>
      <c r="G58" s="87">
        <f>G57+F58</f>
        <v>628759.60556860385</v>
      </c>
      <c r="H58" s="87">
        <f t="shared" si="62"/>
        <v>563152.35608473246</v>
      </c>
      <c r="I58" s="87">
        <f>I57+H58</f>
        <v>1143199.2828520068</v>
      </c>
      <c r="J58" s="87">
        <f t="shared" si="63"/>
        <v>218490.31780952026</v>
      </c>
      <c r="K58" s="87">
        <f>K57+J58</f>
        <v>443535.34515332617</v>
      </c>
      <c r="L58" s="87">
        <f t="shared" si="64"/>
        <v>397255.1232900368</v>
      </c>
      <c r="M58" s="87">
        <f>M57+L58</f>
        <v>806427.90027877467</v>
      </c>
      <c r="N58" s="82">
        <f t="shared" si="65"/>
        <v>211.06230558959379</v>
      </c>
      <c r="O58" s="82">
        <f>O57+N58</f>
        <v>428.45648034687542</v>
      </c>
      <c r="P58" s="82">
        <f t="shared" si="66"/>
        <v>383.74964652653415</v>
      </c>
      <c r="Q58" s="139">
        <f>Q57+P58</f>
        <v>779.01178244886432</v>
      </c>
      <c r="R58" s="82">
        <f t="shared" si="67"/>
        <v>23.37072297106231</v>
      </c>
      <c r="S58" s="82">
        <f>S57+R58</f>
        <v>47.442567631256487</v>
      </c>
      <c r="T58" s="82">
        <f t="shared" si="68"/>
        <v>42.492223583749656</v>
      </c>
      <c r="U58" s="156">
        <f>U57+T58</f>
        <v>86.259213875011795</v>
      </c>
    </row>
    <row r="59" spans="1:21" x14ac:dyDescent="0.25">
      <c r="A59">
        <v>3</v>
      </c>
      <c r="B59" s="137">
        <f t="shared" si="59"/>
        <v>57027.052502592145</v>
      </c>
      <c r="C59" s="85">
        <f t="shared" ref="C59:C66" si="69">C58+B59</f>
        <v>176264.91658026207</v>
      </c>
      <c r="D59" s="137">
        <f t="shared" si="60"/>
        <v>103685.55000471298</v>
      </c>
      <c r="E59" s="139">
        <f t="shared" ref="E59:E66" si="70">E58+D59</f>
        <v>320481.66650956735</v>
      </c>
      <c r="F59" s="87">
        <f t="shared" si="61"/>
        <v>300712.42315204162</v>
      </c>
      <c r="G59" s="87">
        <f t="shared" ref="G59:G66" si="71">G58+F59</f>
        <v>929472.02872064547</v>
      </c>
      <c r="H59" s="87">
        <f t="shared" si="62"/>
        <v>546749.86027643923</v>
      </c>
      <c r="I59" s="87">
        <f t="shared" ref="I59:I66" si="72">I58+H59</f>
        <v>1689949.1431284461</v>
      </c>
      <c r="J59" s="87">
        <f t="shared" si="63"/>
        <v>212126.52214516531</v>
      </c>
      <c r="K59" s="87">
        <f t="shared" ref="K59:K66" si="73">K58+J59</f>
        <v>655661.86729849153</v>
      </c>
      <c r="L59" s="87">
        <f t="shared" si="64"/>
        <v>385684.58571848233</v>
      </c>
      <c r="M59" s="87">
        <f t="shared" ref="M59:M66" si="74">M58+L59</f>
        <v>1192112.4859972571</v>
      </c>
      <c r="N59" s="82">
        <f t="shared" si="65"/>
        <v>204.91485979572212</v>
      </c>
      <c r="O59" s="82">
        <f t="shared" ref="O59:O66" si="75">O58+N59</f>
        <v>633.37134014259755</v>
      </c>
      <c r="P59" s="82">
        <f t="shared" si="66"/>
        <v>372.57247235585839</v>
      </c>
      <c r="Q59" s="139">
        <f t="shared" ref="Q59:Q66" si="76">Q58+P59</f>
        <v>1151.5842548047226</v>
      </c>
      <c r="R59" s="82">
        <f t="shared" si="67"/>
        <v>22.690022302002241</v>
      </c>
      <c r="S59" s="139">
        <f t="shared" ref="S59:S66" si="77">S58+R59</f>
        <v>70.132589933258728</v>
      </c>
      <c r="T59" s="82">
        <f t="shared" si="68"/>
        <v>41.254586003640441</v>
      </c>
      <c r="U59" s="155">
        <f t="shared" ref="U59:U66" si="78">U58+T59</f>
        <v>127.51379987865224</v>
      </c>
    </row>
    <row r="60" spans="1:21" x14ac:dyDescent="0.25">
      <c r="A60">
        <v>4</v>
      </c>
      <c r="B60" s="137">
        <f t="shared" si="59"/>
        <v>55366.070390866167</v>
      </c>
      <c r="C60" s="85">
        <f t="shared" si="69"/>
        <v>231630.98697112824</v>
      </c>
      <c r="D60" s="137">
        <f t="shared" si="60"/>
        <v>100665.58252884756</v>
      </c>
      <c r="E60" s="139">
        <f t="shared" si="70"/>
        <v>421147.24903841491</v>
      </c>
      <c r="F60" s="87">
        <f t="shared" si="61"/>
        <v>291953.80888547731</v>
      </c>
      <c r="G60" s="87">
        <f t="shared" si="71"/>
        <v>1221425.8376061227</v>
      </c>
      <c r="H60" s="87">
        <f t="shared" si="62"/>
        <v>530825.10706450418</v>
      </c>
      <c r="I60" s="87">
        <f t="shared" si="72"/>
        <v>2220774.2501929505</v>
      </c>
      <c r="J60" s="87">
        <f t="shared" si="63"/>
        <v>205948.07975258768</v>
      </c>
      <c r="K60" s="87">
        <f t="shared" si="73"/>
        <v>861609.94705107925</v>
      </c>
      <c r="L60" s="87">
        <f t="shared" si="64"/>
        <v>374451.05409561394</v>
      </c>
      <c r="M60" s="87">
        <f t="shared" si="74"/>
        <v>1566563.5400928711</v>
      </c>
      <c r="N60" s="82">
        <f t="shared" si="65"/>
        <v>198.94646582108945</v>
      </c>
      <c r="O60" s="82">
        <f t="shared" si="75"/>
        <v>832.31780596368696</v>
      </c>
      <c r="P60" s="82">
        <f t="shared" si="66"/>
        <v>361.72084694743535</v>
      </c>
      <c r="Q60" s="139">
        <f t="shared" si="76"/>
        <v>1513.305101752158</v>
      </c>
      <c r="R60" s="82">
        <f t="shared" si="67"/>
        <v>22.029147866021596</v>
      </c>
      <c r="S60" s="139">
        <f t="shared" si="77"/>
        <v>92.161737799280331</v>
      </c>
      <c r="T60" s="82">
        <f t="shared" si="68"/>
        <v>40.052996120039261</v>
      </c>
      <c r="U60" s="155">
        <f t="shared" si="78"/>
        <v>167.5667959986915</v>
      </c>
    </row>
    <row r="61" spans="1:21" x14ac:dyDescent="0.25">
      <c r="A61">
        <v>5</v>
      </c>
      <c r="B61" s="137">
        <f t="shared" si="59"/>
        <v>53753.466398899189</v>
      </c>
      <c r="C61" s="85">
        <f t="shared" si="69"/>
        <v>285384.45337002742</v>
      </c>
      <c r="D61" s="137">
        <f t="shared" si="60"/>
        <v>97733.575270725793</v>
      </c>
      <c r="E61" s="139">
        <f t="shared" si="70"/>
        <v>518880.82430914068</v>
      </c>
      <c r="F61" s="87">
        <f t="shared" si="61"/>
        <v>283450.29988881294</v>
      </c>
      <c r="G61" s="87">
        <f t="shared" si="71"/>
        <v>1504876.1374949357</v>
      </c>
      <c r="H61" s="87">
        <f t="shared" si="62"/>
        <v>515364.18161602347</v>
      </c>
      <c r="I61" s="87">
        <f t="shared" si="72"/>
        <v>2736138.4318089741</v>
      </c>
      <c r="J61" s="87">
        <f t="shared" si="63"/>
        <v>199949.59199280359</v>
      </c>
      <c r="K61" s="87">
        <f t="shared" si="73"/>
        <v>1061559.5390438829</v>
      </c>
      <c r="L61" s="87">
        <f t="shared" si="64"/>
        <v>363544.71271418832</v>
      </c>
      <c r="M61" s="87">
        <f t="shared" si="74"/>
        <v>1930108.2528070593</v>
      </c>
      <c r="N61" s="82">
        <f t="shared" si="65"/>
        <v>193.15190856416453</v>
      </c>
      <c r="O61" s="82">
        <f t="shared" si="75"/>
        <v>1025.4697145278515</v>
      </c>
      <c r="P61" s="82">
        <f t="shared" si="66"/>
        <v>351.18528829848094</v>
      </c>
      <c r="Q61" s="139">
        <f t="shared" si="76"/>
        <v>1864.4903900506388</v>
      </c>
      <c r="R61" s="82">
        <f t="shared" si="67"/>
        <v>21.387522200020967</v>
      </c>
      <c r="S61" s="139">
        <f t="shared" si="77"/>
        <v>113.5492599993013</v>
      </c>
      <c r="T61" s="82">
        <f t="shared" si="68"/>
        <v>38.886404000038119</v>
      </c>
      <c r="U61" s="155">
        <f t="shared" si="78"/>
        <v>206.45319999872962</v>
      </c>
    </row>
    <row r="62" spans="1:21" x14ac:dyDescent="0.25">
      <c r="A62">
        <v>6</v>
      </c>
      <c r="B62" s="137">
        <f t="shared" si="59"/>
        <v>52187.831455241932</v>
      </c>
      <c r="C62" s="85">
        <f t="shared" si="69"/>
        <v>337572.28482526937</v>
      </c>
      <c r="D62" s="137">
        <f t="shared" si="60"/>
        <v>94886.966282258043</v>
      </c>
      <c r="E62" s="139">
        <f t="shared" si="70"/>
        <v>613767.79059139872</v>
      </c>
      <c r="F62" s="87">
        <f t="shared" si="61"/>
        <v>275194.46591146884</v>
      </c>
      <c r="G62" s="87">
        <f t="shared" si="71"/>
        <v>1780070.6034064046</v>
      </c>
      <c r="H62" s="87">
        <f t="shared" si="62"/>
        <v>500353.57438448881</v>
      </c>
      <c r="I62" s="87">
        <f t="shared" si="72"/>
        <v>3236492.0061934628</v>
      </c>
      <c r="J62" s="87">
        <f t="shared" si="63"/>
        <v>194125.81746874136</v>
      </c>
      <c r="K62" s="87">
        <f t="shared" si="73"/>
        <v>1255685.3565126243</v>
      </c>
      <c r="L62" s="87">
        <f t="shared" si="64"/>
        <v>352956.03176134784</v>
      </c>
      <c r="M62" s="87">
        <f t="shared" si="74"/>
        <v>2283064.2845684071</v>
      </c>
      <c r="N62" s="82">
        <f t="shared" si="65"/>
        <v>187.52612481957721</v>
      </c>
      <c r="O62" s="82">
        <f t="shared" si="75"/>
        <v>1212.9958393474287</v>
      </c>
      <c r="P62" s="82">
        <f t="shared" si="66"/>
        <v>340.95659058104945</v>
      </c>
      <c r="Q62" s="139">
        <f t="shared" si="76"/>
        <v>2205.4469806316883</v>
      </c>
      <c r="R62" s="82">
        <f t="shared" si="67"/>
        <v>20.764584660214531</v>
      </c>
      <c r="S62" s="139">
        <f t="shared" si="77"/>
        <v>134.31384465951584</v>
      </c>
      <c r="T62" s="82">
        <f t="shared" si="68"/>
        <v>37.753790291299147</v>
      </c>
      <c r="U62" s="155">
        <f t="shared" si="78"/>
        <v>244.20699029002876</v>
      </c>
    </row>
    <row r="63" spans="1:21" x14ac:dyDescent="0.25">
      <c r="A63">
        <v>7</v>
      </c>
      <c r="B63" s="137">
        <f t="shared" si="59"/>
        <v>50667.797529361094</v>
      </c>
      <c r="C63" s="85">
        <f t="shared" si="69"/>
        <v>388240.08235463046</v>
      </c>
      <c r="D63" s="137">
        <f t="shared" si="60"/>
        <v>92123.268235201976</v>
      </c>
      <c r="E63" s="139">
        <f t="shared" si="70"/>
        <v>705891.05882660067</v>
      </c>
      <c r="F63" s="87">
        <f t="shared" si="61"/>
        <v>267179.09311793093</v>
      </c>
      <c r="G63" s="87">
        <f t="shared" si="71"/>
        <v>2047249.6965243355</v>
      </c>
      <c r="H63" s="87">
        <f t="shared" si="62"/>
        <v>485780.16930532886</v>
      </c>
      <c r="I63" s="87">
        <f t="shared" si="72"/>
        <v>3722272.1754987915</v>
      </c>
      <c r="J63" s="87">
        <f t="shared" si="63"/>
        <v>188471.66744537992</v>
      </c>
      <c r="K63" s="87">
        <f t="shared" si="73"/>
        <v>1444157.0239580043</v>
      </c>
      <c r="L63" s="87">
        <f t="shared" si="64"/>
        <v>342675.75899159984</v>
      </c>
      <c r="M63" s="87">
        <f t="shared" si="74"/>
        <v>2625740.0435600071</v>
      </c>
      <c r="N63" s="82">
        <f t="shared" si="65"/>
        <v>182.06419885395843</v>
      </c>
      <c r="O63" s="82">
        <f t="shared" si="75"/>
        <v>1395.0600382013872</v>
      </c>
      <c r="P63" s="82">
        <f t="shared" si="66"/>
        <v>331.02581609810625</v>
      </c>
      <c r="Q63" s="139">
        <f t="shared" si="76"/>
        <v>2536.4727967297945</v>
      </c>
      <c r="R63" s="82">
        <f t="shared" si="67"/>
        <v>20.159790932247116</v>
      </c>
      <c r="S63" s="139">
        <f t="shared" si="77"/>
        <v>154.47363559176296</v>
      </c>
      <c r="T63" s="82">
        <f t="shared" si="68"/>
        <v>36.654165331358392</v>
      </c>
      <c r="U63" s="155">
        <f t="shared" si="78"/>
        <v>280.86115562138713</v>
      </c>
    </row>
    <row r="64" spans="1:21" x14ac:dyDescent="0.25">
      <c r="A64">
        <v>8</v>
      </c>
      <c r="B64" s="137">
        <f t="shared" si="59"/>
        <v>49192.036436272916</v>
      </c>
      <c r="C64" s="85">
        <f t="shared" si="69"/>
        <v>437432.11879090336</v>
      </c>
      <c r="D64" s="137">
        <f t="shared" si="60"/>
        <v>89440.066247768918</v>
      </c>
      <c r="E64" s="139">
        <f t="shared" si="70"/>
        <v>795331.1250743696</v>
      </c>
      <c r="F64" s="87">
        <f t="shared" si="61"/>
        <v>259397.17778439898</v>
      </c>
      <c r="G64" s="87">
        <f t="shared" si="71"/>
        <v>2306646.8743087347</v>
      </c>
      <c r="H64" s="87">
        <f t="shared" si="62"/>
        <v>471631.23233527085</v>
      </c>
      <c r="I64" s="87">
        <f t="shared" si="72"/>
        <v>4193903.4078340624</v>
      </c>
      <c r="J64" s="87">
        <f t="shared" si="63"/>
        <v>182982.20140328151</v>
      </c>
      <c r="K64" s="87">
        <f t="shared" si="73"/>
        <v>1627139.2253612857</v>
      </c>
      <c r="L64" s="87">
        <f t="shared" si="64"/>
        <v>332694.91164232994</v>
      </c>
      <c r="M64" s="87">
        <f t="shared" si="74"/>
        <v>2958434.9552023369</v>
      </c>
      <c r="N64" s="82">
        <f t="shared" si="65"/>
        <v>176.76135811063929</v>
      </c>
      <c r="O64" s="82">
        <f t="shared" si="75"/>
        <v>1571.8213963120265</v>
      </c>
      <c r="P64" s="82">
        <f t="shared" si="66"/>
        <v>321.38428747388957</v>
      </c>
      <c r="Q64" s="139">
        <f t="shared" si="76"/>
        <v>2857.8570842036843</v>
      </c>
      <c r="R64" s="82">
        <f t="shared" si="67"/>
        <v>19.572612555579727</v>
      </c>
      <c r="S64" s="139">
        <f t="shared" si="77"/>
        <v>174.04624814734268</v>
      </c>
      <c r="T64" s="82">
        <f t="shared" si="68"/>
        <v>35.586568282872229</v>
      </c>
      <c r="U64" s="155">
        <f t="shared" si="78"/>
        <v>316.44772390425936</v>
      </c>
    </row>
    <row r="65" spans="1:21" x14ac:dyDescent="0.25">
      <c r="A65">
        <v>9</v>
      </c>
      <c r="B65" s="137">
        <f t="shared" si="59"/>
        <v>47759.258675993122</v>
      </c>
      <c r="C65" s="85">
        <f t="shared" si="69"/>
        <v>485191.37746689649</v>
      </c>
      <c r="D65" s="137">
        <f t="shared" si="60"/>
        <v>86835.015774532934</v>
      </c>
      <c r="E65" s="139">
        <f t="shared" si="70"/>
        <v>882166.14084890252</v>
      </c>
      <c r="F65" s="87">
        <f t="shared" si="61"/>
        <v>251841.92017902812</v>
      </c>
      <c r="G65" s="87">
        <f t="shared" si="71"/>
        <v>2558488.7944877627</v>
      </c>
      <c r="H65" s="87">
        <f t="shared" si="62"/>
        <v>457894.40032550565</v>
      </c>
      <c r="I65" s="87">
        <f t="shared" si="72"/>
        <v>4651797.8081595683</v>
      </c>
      <c r="J65" s="87">
        <f t="shared" si="63"/>
        <v>177652.62272163254</v>
      </c>
      <c r="K65" s="87">
        <f t="shared" si="73"/>
        <v>1804791.8480829182</v>
      </c>
      <c r="L65" s="87">
        <f t="shared" si="64"/>
        <v>323004.76858478639</v>
      </c>
      <c r="M65" s="87">
        <f t="shared" si="74"/>
        <v>3281439.7237871233</v>
      </c>
      <c r="N65" s="82">
        <f t="shared" si="65"/>
        <v>171.61296903945561</v>
      </c>
      <c r="O65" s="82">
        <f t="shared" si="75"/>
        <v>1743.434365351482</v>
      </c>
      <c r="P65" s="82">
        <f t="shared" si="66"/>
        <v>312.02358007173746</v>
      </c>
      <c r="Q65" s="139">
        <f t="shared" si="76"/>
        <v>3169.8806642754216</v>
      </c>
      <c r="R65" s="82">
        <f t="shared" si="67"/>
        <v>19.002536461727889</v>
      </c>
      <c r="S65" s="139">
        <f t="shared" si="77"/>
        <v>193.04878460907057</v>
      </c>
      <c r="T65" s="82">
        <f t="shared" si="68"/>
        <v>34.550066294050708</v>
      </c>
      <c r="U65" s="155">
        <f t="shared" si="78"/>
        <v>350.9977901983101</v>
      </c>
    </row>
    <row r="66" spans="1:21" x14ac:dyDescent="0.25">
      <c r="A66">
        <v>10</v>
      </c>
      <c r="B66" s="137">
        <f t="shared" si="59"/>
        <v>46368.212306789435</v>
      </c>
      <c r="C66" s="85">
        <f t="shared" si="69"/>
        <v>531559.5897736859</v>
      </c>
      <c r="D66" s="137">
        <f t="shared" si="60"/>
        <v>84305.840557798962</v>
      </c>
      <c r="E66" s="139">
        <f t="shared" si="70"/>
        <v>966471.9814067015</v>
      </c>
      <c r="F66" s="87">
        <f t="shared" si="61"/>
        <v>244506.71862041566</v>
      </c>
      <c r="G66" s="87">
        <f t="shared" si="71"/>
        <v>2802995.5131081785</v>
      </c>
      <c r="H66" s="87">
        <f t="shared" si="62"/>
        <v>444557.67021893751</v>
      </c>
      <c r="I66" s="87">
        <f t="shared" si="72"/>
        <v>5096355.4783785054</v>
      </c>
      <c r="J66" s="87">
        <f t="shared" si="63"/>
        <v>172478.27448702187</v>
      </c>
      <c r="K66" s="87">
        <f t="shared" si="73"/>
        <v>1977270.1225699401</v>
      </c>
      <c r="L66" s="87">
        <f t="shared" si="64"/>
        <v>313596.8627036761</v>
      </c>
      <c r="M66" s="87">
        <f t="shared" si="74"/>
        <v>3595036.5864907997</v>
      </c>
      <c r="N66" s="82">
        <f t="shared" si="65"/>
        <v>166.61453304801515</v>
      </c>
      <c r="O66" s="82">
        <f t="shared" si="75"/>
        <v>1910.0488983994971</v>
      </c>
      <c r="P66" s="82">
        <f t="shared" si="66"/>
        <v>302.9355146327548</v>
      </c>
      <c r="Q66" s="139">
        <f t="shared" si="76"/>
        <v>3472.8161789081764</v>
      </c>
      <c r="R66" s="82">
        <f t="shared" si="67"/>
        <v>18.449064525949407</v>
      </c>
      <c r="S66" s="139">
        <f t="shared" si="77"/>
        <v>211.49784913501998</v>
      </c>
      <c r="T66" s="82">
        <f t="shared" si="68"/>
        <v>33.543753683544374</v>
      </c>
      <c r="U66" s="155">
        <f t="shared" si="78"/>
        <v>384.54154388185447</v>
      </c>
    </row>
    <row r="68" spans="1:21" s="67" customFormat="1" ht="18.75" x14ac:dyDescent="0.3">
      <c r="A68" s="67" t="str">
        <f>Summary!B15</f>
        <v>Initial Exam</v>
      </c>
      <c r="B68" s="942" t="s">
        <v>150</v>
      </c>
      <c r="C68" s="942"/>
      <c r="D68" s="942"/>
      <c r="E68" s="942"/>
      <c r="F68" s="962" t="s">
        <v>152</v>
      </c>
      <c r="G68" s="962"/>
      <c r="H68" s="962"/>
      <c r="I68" s="962"/>
      <c r="J68" s="962"/>
      <c r="K68" s="962"/>
      <c r="L68" s="962"/>
      <c r="M68" s="962"/>
      <c r="N68" s="961" t="s">
        <v>151</v>
      </c>
      <c r="O68" s="961"/>
      <c r="P68" s="961"/>
      <c r="Q68" s="961"/>
      <c r="R68" s="961"/>
      <c r="S68" s="961"/>
      <c r="T68" s="961"/>
      <c r="U68" s="961"/>
    </row>
    <row r="69" spans="1:21" x14ac:dyDescent="0.25">
      <c r="A69" s="215" t="s">
        <v>58</v>
      </c>
      <c r="B69" t="s">
        <v>57</v>
      </c>
      <c r="C69" t="s">
        <v>61</v>
      </c>
      <c r="D69" t="s">
        <v>59</v>
      </c>
      <c r="E69" t="s">
        <v>61</v>
      </c>
      <c r="F69" t="s">
        <v>63</v>
      </c>
      <c r="G69" t="s">
        <v>61</v>
      </c>
      <c r="H69" t="s">
        <v>64</v>
      </c>
      <c r="I69" t="s">
        <v>61</v>
      </c>
      <c r="J69" t="s">
        <v>65</v>
      </c>
      <c r="K69" t="s">
        <v>61</v>
      </c>
      <c r="L69" t="s">
        <v>66</v>
      </c>
      <c r="M69" t="s">
        <v>67</v>
      </c>
      <c r="N69" t="s">
        <v>90</v>
      </c>
      <c r="O69" t="s">
        <v>89</v>
      </c>
      <c r="P69" t="s">
        <v>91</v>
      </c>
      <c r="Q69" t="s">
        <v>89</v>
      </c>
      <c r="R69" t="s">
        <v>92</v>
      </c>
      <c r="S69" t="s">
        <v>89</v>
      </c>
      <c r="T69" t="s">
        <v>66</v>
      </c>
      <c r="U69" t="s">
        <v>89</v>
      </c>
    </row>
    <row r="70" spans="1:21" x14ac:dyDescent="0.25">
      <c r="A70">
        <v>1</v>
      </c>
      <c r="B70" s="137">
        <f t="shared" ref="B70:B79" si="79">$B$13/(1+$E$3)^A70</f>
        <v>10534.718446601943</v>
      </c>
      <c r="C70" s="85">
        <f>B70</f>
        <v>10534.718446601943</v>
      </c>
      <c r="D70" s="137">
        <f t="shared" ref="D70:D79" si="80">$D$13/(1+$E$3)^A70</f>
        <v>37066.601941747576</v>
      </c>
      <c r="E70" s="85">
        <f>D70</f>
        <v>37066.601941747576</v>
      </c>
      <c r="F70" s="87">
        <f t="shared" ref="F70:F79" si="81">$F$13/(1+$E$3)^A70</f>
        <v>41705.454484903603</v>
      </c>
      <c r="G70" s="87">
        <f>F70</f>
        <v>41705.454484903603</v>
      </c>
      <c r="H70" s="87">
        <f t="shared" ref="H70:H79" si="82">$H$13/(1+$E$3)^A70</f>
        <v>516169.35951994895</v>
      </c>
      <c r="I70" s="87">
        <f>H70</f>
        <v>516169.35951994895</v>
      </c>
      <c r="J70" s="87">
        <f t="shared" ref="J70:J79" si="83">$J$13/(1+$E$3)^A70</f>
        <v>29419.579416222154</v>
      </c>
      <c r="K70" s="87">
        <f>J70</f>
        <v>29419.579416222154</v>
      </c>
      <c r="L70" s="87">
        <f t="shared" ref="L70:L79" si="84">$L$13/(1+$E$3)^A70</f>
        <v>364112.69586126803</v>
      </c>
      <c r="M70" s="87">
        <f>L70</f>
        <v>364112.69586126803</v>
      </c>
      <c r="N70" s="82">
        <f t="shared" ref="N70:N79" si="85">$O$13/(1+$E$3)^A70</f>
        <v>28.419402394193614</v>
      </c>
      <c r="O70" s="82">
        <f>N70</f>
        <v>28.419402394193614</v>
      </c>
      <c r="P70" s="82">
        <f t="shared" ref="P70:P79" si="86">$Q$13/(1+$E$3)^A70</f>
        <v>351.7339617306061</v>
      </c>
      <c r="Q70" s="82">
        <f>P70</f>
        <v>351.7339617306061</v>
      </c>
      <c r="R70" s="82">
        <f t="shared" ref="R70:R79" si="87">$S$13/(1+$E$3)^A70</f>
        <v>3.1468526722594024</v>
      </c>
      <c r="S70" s="82">
        <f>R70</f>
        <v>3.1468526722594024</v>
      </c>
      <c r="T70" s="82">
        <f t="shared" ref="T70:T79" si="88">$U$13/(1+$E$3)^A70</f>
        <v>38.947158073333966</v>
      </c>
      <c r="U70" s="156">
        <f>T70</f>
        <v>38.947158073333966</v>
      </c>
    </row>
    <row r="71" spans="1:21" x14ac:dyDescent="0.25">
      <c r="A71">
        <v>2</v>
      </c>
      <c r="B71" s="137">
        <f t="shared" si="79"/>
        <v>10227.881986992177</v>
      </c>
      <c r="C71" s="85">
        <f>C70+B71</f>
        <v>20762.600433594118</v>
      </c>
      <c r="D71" s="137">
        <f t="shared" si="80"/>
        <v>35986.992176453961</v>
      </c>
      <c r="E71" s="85">
        <f>E70+D71</f>
        <v>73053.594118201538</v>
      </c>
      <c r="F71" s="87">
        <f t="shared" si="81"/>
        <v>40490.732509615154</v>
      </c>
      <c r="G71" s="87">
        <f>G70+F71</f>
        <v>82196.186994518765</v>
      </c>
      <c r="H71" s="87">
        <f t="shared" si="82"/>
        <v>501135.30050480482</v>
      </c>
      <c r="I71" s="87">
        <f>I70+H71</f>
        <v>1017304.6600247538</v>
      </c>
      <c r="J71" s="87">
        <f t="shared" si="83"/>
        <v>28562.698462351607</v>
      </c>
      <c r="K71" s="87">
        <f>K70+J71</f>
        <v>57982.277878573761</v>
      </c>
      <c r="L71" s="87">
        <f t="shared" si="84"/>
        <v>353507.47170996899</v>
      </c>
      <c r="M71" s="87">
        <f>M70+L71</f>
        <v>717620.16757123708</v>
      </c>
      <c r="N71" s="82">
        <f t="shared" si="85"/>
        <v>27.591652809896715</v>
      </c>
      <c r="O71" s="82">
        <f>O70+N71</f>
        <v>56.011055204090326</v>
      </c>
      <c r="P71" s="82">
        <f t="shared" si="86"/>
        <v>341.4892832335982</v>
      </c>
      <c r="Q71" s="82">
        <f>Q70+P71</f>
        <v>693.22324496420424</v>
      </c>
      <c r="R71" s="82">
        <f t="shared" si="87"/>
        <v>3.0551967691838859</v>
      </c>
      <c r="S71" s="82">
        <f>S70+R71</f>
        <v>6.2020494414432878</v>
      </c>
      <c r="T71" s="82">
        <f t="shared" si="88"/>
        <v>37.812774828479583</v>
      </c>
      <c r="U71" s="156">
        <f>U70+T71</f>
        <v>76.759932901813556</v>
      </c>
    </row>
    <row r="72" spans="1:21" x14ac:dyDescent="0.25">
      <c r="A72">
        <v>3</v>
      </c>
      <c r="B72" s="137">
        <f t="shared" si="79"/>
        <v>9929.9825116428892</v>
      </c>
      <c r="C72" s="85">
        <f t="shared" ref="C72:C79" si="89">C71+B72</f>
        <v>30692.582945237009</v>
      </c>
      <c r="D72" s="137">
        <f t="shared" si="80"/>
        <v>34938.827355780544</v>
      </c>
      <c r="E72" s="85">
        <f t="shared" ref="E72:E79" si="90">E71+D72</f>
        <v>107992.42147398207</v>
      </c>
      <c r="F72" s="87">
        <f t="shared" si="81"/>
        <v>39311.390786034128</v>
      </c>
      <c r="G72" s="87">
        <f t="shared" ref="G72:G79" si="91">G71+F72</f>
        <v>121507.57778055289</v>
      </c>
      <c r="H72" s="87">
        <f t="shared" si="82"/>
        <v>486539.126703694</v>
      </c>
      <c r="I72" s="87">
        <f t="shared" ref="I72:I79" si="92">I71+H72</f>
        <v>1503843.7867284478</v>
      </c>
      <c r="J72" s="87">
        <f t="shared" si="83"/>
        <v>27730.775206166607</v>
      </c>
      <c r="K72" s="87">
        <f t="shared" ref="K72:K79" si="93">K71+J72</f>
        <v>85713.053084740372</v>
      </c>
      <c r="L72" s="87">
        <f t="shared" si="84"/>
        <v>343211.13758249412</v>
      </c>
      <c r="M72" s="87">
        <f t="shared" ref="M72:M79" si="94">M71+L72</f>
        <v>1060831.3051537313</v>
      </c>
      <c r="N72" s="82">
        <f t="shared" si="85"/>
        <v>26.788012436792926</v>
      </c>
      <c r="O72" s="82">
        <f t="shared" ref="O72:O79" si="95">O71+N72</f>
        <v>82.799067640883251</v>
      </c>
      <c r="P72" s="82">
        <f t="shared" si="86"/>
        <v>331.54299343067783</v>
      </c>
      <c r="Q72" s="82">
        <f t="shared" ref="Q72:Q79" si="96">Q71+P72</f>
        <v>1024.7662383948821</v>
      </c>
      <c r="R72" s="82">
        <f t="shared" si="87"/>
        <v>2.9662104555183357</v>
      </c>
      <c r="S72" s="139">
        <f t="shared" ref="S72:S79" si="97">S71+R72</f>
        <v>9.168259896961624</v>
      </c>
      <c r="T72" s="82">
        <f t="shared" si="88"/>
        <v>36.711431872310271</v>
      </c>
      <c r="U72" s="155">
        <f t="shared" ref="U72:U79" si="98">U71+T72</f>
        <v>113.47136477412383</v>
      </c>
    </row>
    <row r="73" spans="1:21" x14ac:dyDescent="0.25">
      <c r="A73">
        <v>4</v>
      </c>
      <c r="B73" s="137">
        <f t="shared" si="79"/>
        <v>9640.7597200416421</v>
      </c>
      <c r="C73" s="85">
        <f t="shared" si="89"/>
        <v>40333.342665278651</v>
      </c>
      <c r="D73" s="137">
        <f t="shared" si="80"/>
        <v>33921.191607553927</v>
      </c>
      <c r="E73" s="85">
        <f t="shared" si="90"/>
        <v>141913.61308153599</v>
      </c>
      <c r="F73" s="87">
        <f t="shared" si="81"/>
        <v>38166.398821392359</v>
      </c>
      <c r="G73" s="87">
        <f t="shared" si="91"/>
        <v>159673.97660194524</v>
      </c>
      <c r="H73" s="87">
        <f t="shared" si="82"/>
        <v>472368.08417834371</v>
      </c>
      <c r="I73" s="87">
        <f t="shared" si="92"/>
        <v>1976211.8709067914</v>
      </c>
      <c r="J73" s="87">
        <f t="shared" si="83"/>
        <v>26923.082724433603</v>
      </c>
      <c r="K73" s="87">
        <f t="shared" si="93"/>
        <v>112636.13580917398</v>
      </c>
      <c r="L73" s="87">
        <f t="shared" si="84"/>
        <v>333214.69668203319</v>
      </c>
      <c r="M73" s="87">
        <f t="shared" si="94"/>
        <v>1394046.0018357644</v>
      </c>
      <c r="N73" s="82">
        <f t="shared" si="85"/>
        <v>26.007779064847501</v>
      </c>
      <c r="O73" s="82">
        <f t="shared" si="95"/>
        <v>108.80684670573075</v>
      </c>
      <c r="P73" s="82">
        <f t="shared" si="86"/>
        <v>321.88640138900763</v>
      </c>
      <c r="Q73" s="82">
        <f t="shared" si="96"/>
        <v>1346.6526397838898</v>
      </c>
      <c r="R73" s="82">
        <f t="shared" si="87"/>
        <v>2.8798159762313942</v>
      </c>
      <c r="S73" s="139">
        <f t="shared" si="97"/>
        <v>12.048075873193017</v>
      </c>
      <c r="T73" s="82">
        <f t="shared" si="88"/>
        <v>35.642166866320657</v>
      </c>
      <c r="U73" s="155">
        <f t="shared" si="98"/>
        <v>149.11353164044448</v>
      </c>
    </row>
    <row r="74" spans="1:21" x14ac:dyDescent="0.25">
      <c r="A74">
        <v>5</v>
      </c>
      <c r="B74" s="137">
        <f t="shared" si="79"/>
        <v>9359.9608932443134</v>
      </c>
      <c r="C74" s="85">
        <f t="shared" si="89"/>
        <v>49693.303558522966</v>
      </c>
      <c r="D74" s="137">
        <f t="shared" si="80"/>
        <v>32933.195735489251</v>
      </c>
      <c r="E74" s="85">
        <f t="shared" si="90"/>
        <v>174846.80881702524</v>
      </c>
      <c r="F74" s="87">
        <f t="shared" si="81"/>
        <v>37054.75613727414</v>
      </c>
      <c r="G74" s="87">
        <f t="shared" si="91"/>
        <v>196728.73273921938</v>
      </c>
      <c r="H74" s="87">
        <f t="shared" si="82"/>
        <v>458609.79046441143</v>
      </c>
      <c r="I74" s="87">
        <f t="shared" si="92"/>
        <v>2434821.6613712027</v>
      </c>
      <c r="J74" s="87">
        <f t="shared" si="83"/>
        <v>26138.915266440392</v>
      </c>
      <c r="K74" s="87">
        <f t="shared" si="93"/>
        <v>138775.05107561438</v>
      </c>
      <c r="L74" s="87">
        <f t="shared" si="84"/>
        <v>323509.41425440117</v>
      </c>
      <c r="M74" s="87">
        <f t="shared" si="94"/>
        <v>1717555.4160901655</v>
      </c>
      <c r="N74" s="82">
        <f t="shared" si="85"/>
        <v>25.250270936745149</v>
      </c>
      <c r="O74" s="82">
        <f t="shared" si="95"/>
        <v>134.0571176424759</v>
      </c>
      <c r="P74" s="82">
        <f t="shared" si="86"/>
        <v>312.51106930971616</v>
      </c>
      <c r="Q74" s="82">
        <f t="shared" si="96"/>
        <v>1659.163709093606</v>
      </c>
      <c r="R74" s="82">
        <f t="shared" si="87"/>
        <v>2.7959378410013538</v>
      </c>
      <c r="S74" s="139">
        <f t="shared" si="97"/>
        <v>14.844013714194372</v>
      </c>
      <c r="T74" s="82">
        <f t="shared" si="88"/>
        <v>34.604045501282194</v>
      </c>
      <c r="U74" s="155">
        <f t="shared" si="98"/>
        <v>183.71757714172668</v>
      </c>
    </row>
    <row r="75" spans="1:21" x14ac:dyDescent="0.25">
      <c r="A75">
        <v>6</v>
      </c>
      <c r="B75" s="137">
        <f t="shared" si="79"/>
        <v>9087.3406730527295</v>
      </c>
      <c r="C75" s="85">
        <f t="shared" si="89"/>
        <v>58780.644231575694</v>
      </c>
      <c r="D75" s="137">
        <f t="shared" si="80"/>
        <v>31973.976442222574</v>
      </c>
      <c r="E75" s="85">
        <f t="shared" si="90"/>
        <v>206820.78525924782</v>
      </c>
      <c r="F75" s="87">
        <f t="shared" si="81"/>
        <v>35975.49139541178</v>
      </c>
      <c r="G75" s="87">
        <f t="shared" si="91"/>
        <v>232704.22413463116</v>
      </c>
      <c r="H75" s="87">
        <f t="shared" si="82"/>
        <v>445252.22375185572</v>
      </c>
      <c r="I75" s="87">
        <f t="shared" si="92"/>
        <v>2880073.8851230582</v>
      </c>
      <c r="J75" s="87">
        <f t="shared" si="83"/>
        <v>25377.587637320768</v>
      </c>
      <c r="K75" s="87">
        <f t="shared" si="93"/>
        <v>164152.63871293515</v>
      </c>
      <c r="L75" s="87">
        <f t="shared" si="84"/>
        <v>314086.80995572929</v>
      </c>
      <c r="M75" s="87">
        <f t="shared" si="94"/>
        <v>2031642.2260458949</v>
      </c>
      <c r="N75" s="82">
        <f t="shared" si="85"/>
        <v>24.514826152179754</v>
      </c>
      <c r="O75" s="82">
        <f t="shared" si="95"/>
        <v>158.57194379465565</v>
      </c>
      <c r="P75" s="82">
        <f t="shared" si="86"/>
        <v>303.40880515506421</v>
      </c>
      <c r="Q75" s="82">
        <f t="shared" si="96"/>
        <v>1962.5725142486704</v>
      </c>
      <c r="R75" s="82">
        <f t="shared" si="87"/>
        <v>2.7145027582537415</v>
      </c>
      <c r="S75" s="139">
        <f t="shared" si="97"/>
        <v>17.558516472448112</v>
      </c>
      <c r="T75" s="82">
        <f t="shared" si="88"/>
        <v>33.596160680856492</v>
      </c>
      <c r="U75" s="155">
        <f t="shared" si="98"/>
        <v>217.31373782258316</v>
      </c>
    </row>
    <row r="76" spans="1:21" x14ac:dyDescent="0.25">
      <c r="A76">
        <v>7</v>
      </c>
      <c r="B76" s="137">
        <f t="shared" si="79"/>
        <v>8822.660847624009</v>
      </c>
      <c r="C76" s="85">
        <f t="shared" si="89"/>
        <v>67603.305079199708</v>
      </c>
      <c r="D76" s="137">
        <f t="shared" si="80"/>
        <v>31042.695574973372</v>
      </c>
      <c r="E76" s="85">
        <f t="shared" si="90"/>
        <v>237863.48083422118</v>
      </c>
      <c r="F76" s="87">
        <f t="shared" si="81"/>
        <v>34927.661548943477</v>
      </c>
      <c r="G76" s="87">
        <f t="shared" si="91"/>
        <v>267631.88568357466</v>
      </c>
      <c r="H76" s="87">
        <f t="shared" si="82"/>
        <v>432283.71238044242</v>
      </c>
      <c r="I76" s="87">
        <f t="shared" si="92"/>
        <v>3312357.5975035005</v>
      </c>
      <c r="J76" s="87">
        <f t="shared" si="83"/>
        <v>24638.434599340548</v>
      </c>
      <c r="K76" s="87">
        <f t="shared" si="93"/>
        <v>188791.07331227569</v>
      </c>
      <c r="L76" s="87">
        <f t="shared" si="84"/>
        <v>304938.6504424556</v>
      </c>
      <c r="M76" s="87">
        <f t="shared" si="94"/>
        <v>2336580.8764883503</v>
      </c>
      <c r="N76" s="82">
        <f t="shared" si="85"/>
        <v>23.800802089494905</v>
      </c>
      <c r="O76" s="82">
        <f t="shared" si="95"/>
        <v>182.37274588415056</v>
      </c>
      <c r="P76" s="82">
        <f t="shared" si="86"/>
        <v>294.57165549035358</v>
      </c>
      <c r="Q76" s="82">
        <f t="shared" si="96"/>
        <v>2257.1441697390237</v>
      </c>
      <c r="R76" s="82">
        <f t="shared" si="87"/>
        <v>2.6354395711201373</v>
      </c>
      <c r="S76" s="139">
        <f t="shared" si="97"/>
        <v>20.193956043568249</v>
      </c>
      <c r="T76" s="82">
        <f t="shared" si="88"/>
        <v>32.617631728986886</v>
      </c>
      <c r="U76" s="155">
        <f t="shared" si="98"/>
        <v>249.93136955157004</v>
      </c>
    </row>
    <row r="77" spans="1:21" x14ac:dyDescent="0.25">
      <c r="A77">
        <v>8</v>
      </c>
      <c r="B77" s="137">
        <f t="shared" si="79"/>
        <v>8565.690143324282</v>
      </c>
      <c r="C77" s="85">
        <f t="shared" si="89"/>
        <v>76168.995222523983</v>
      </c>
      <c r="D77" s="137">
        <f t="shared" si="80"/>
        <v>30138.539393178035</v>
      </c>
      <c r="E77" s="85">
        <f t="shared" si="90"/>
        <v>268002.02022739919</v>
      </c>
      <c r="F77" s="87">
        <f t="shared" si="81"/>
        <v>33910.351018391731</v>
      </c>
      <c r="G77" s="87">
        <f t="shared" si="91"/>
        <v>301542.23670196638</v>
      </c>
      <c r="H77" s="87">
        <f t="shared" si="82"/>
        <v>419692.92464120628</v>
      </c>
      <c r="I77" s="87">
        <f t="shared" si="92"/>
        <v>3732050.5221447069</v>
      </c>
      <c r="J77" s="87">
        <f t="shared" si="83"/>
        <v>23920.810290621896</v>
      </c>
      <c r="K77" s="87">
        <f t="shared" si="93"/>
        <v>212711.88360289758</v>
      </c>
      <c r="L77" s="87">
        <f t="shared" si="84"/>
        <v>296056.94217714138</v>
      </c>
      <c r="M77" s="87">
        <f t="shared" si="94"/>
        <v>2632637.8186654919</v>
      </c>
      <c r="N77" s="82">
        <f t="shared" si="85"/>
        <v>23.107574844169815</v>
      </c>
      <c r="O77" s="82">
        <f t="shared" si="95"/>
        <v>205.48032072832038</v>
      </c>
      <c r="P77" s="82">
        <f t="shared" si="86"/>
        <v>285.99189853432392</v>
      </c>
      <c r="Q77" s="82">
        <f t="shared" si="96"/>
        <v>2543.1360682733475</v>
      </c>
      <c r="R77" s="82">
        <f t="shared" si="87"/>
        <v>2.5586791952622696</v>
      </c>
      <c r="S77" s="139">
        <f t="shared" si="97"/>
        <v>22.752635238830518</v>
      </c>
      <c r="T77" s="82">
        <f t="shared" si="88"/>
        <v>31.667603620375623</v>
      </c>
      <c r="U77" s="155">
        <f t="shared" si="98"/>
        <v>281.59897317194566</v>
      </c>
    </row>
    <row r="78" spans="1:21" x14ac:dyDescent="0.25">
      <c r="A78">
        <v>9</v>
      </c>
      <c r="B78" s="137">
        <f t="shared" si="79"/>
        <v>8316.2040226449335</v>
      </c>
      <c r="C78" s="85">
        <f t="shared" si="89"/>
        <v>84485.199245168915</v>
      </c>
      <c r="D78" s="137">
        <f t="shared" si="80"/>
        <v>29260.717857454401</v>
      </c>
      <c r="E78" s="85">
        <f t="shared" si="90"/>
        <v>297262.73808485357</v>
      </c>
      <c r="F78" s="87">
        <f t="shared" si="81"/>
        <v>32922.670891642454</v>
      </c>
      <c r="G78" s="87">
        <f t="shared" si="91"/>
        <v>334464.90759360883</v>
      </c>
      <c r="H78" s="87">
        <f t="shared" si="82"/>
        <v>407468.85887495754</v>
      </c>
      <c r="I78" s="87">
        <f t="shared" si="92"/>
        <v>4139519.3810196645</v>
      </c>
      <c r="J78" s="87">
        <f t="shared" si="83"/>
        <v>23224.087660797955</v>
      </c>
      <c r="K78" s="87">
        <f t="shared" si="93"/>
        <v>235935.97126369554</v>
      </c>
      <c r="L78" s="87">
        <f t="shared" si="84"/>
        <v>287433.92444382655</v>
      </c>
      <c r="M78" s="87">
        <f t="shared" si="94"/>
        <v>2920071.7431093184</v>
      </c>
      <c r="N78" s="82">
        <f t="shared" si="85"/>
        <v>22.434538683660012</v>
      </c>
      <c r="O78" s="82">
        <f t="shared" si="95"/>
        <v>227.91485941198039</v>
      </c>
      <c r="P78" s="82">
        <f t="shared" si="86"/>
        <v>277.66203741196495</v>
      </c>
      <c r="Q78" s="82">
        <f t="shared" si="96"/>
        <v>2820.7981056853123</v>
      </c>
      <c r="R78" s="82">
        <f t="shared" si="87"/>
        <v>2.4841545585070577</v>
      </c>
      <c r="S78" s="139">
        <f t="shared" si="97"/>
        <v>25.236789797337575</v>
      </c>
      <c r="T78" s="82">
        <f t="shared" si="88"/>
        <v>30.745246233374388</v>
      </c>
      <c r="U78" s="155">
        <f t="shared" si="98"/>
        <v>312.34421940532002</v>
      </c>
    </row>
    <row r="79" spans="1:21" x14ac:dyDescent="0.25">
      <c r="A79">
        <v>10</v>
      </c>
      <c r="B79" s="137">
        <f t="shared" si="79"/>
        <v>8073.9844880047904</v>
      </c>
      <c r="C79" s="85">
        <f t="shared" si="89"/>
        <v>92559.183733173704</v>
      </c>
      <c r="D79" s="137">
        <f t="shared" si="80"/>
        <v>28408.463939276116</v>
      </c>
      <c r="E79" s="85">
        <f t="shared" si="90"/>
        <v>325671.20202412969</v>
      </c>
      <c r="F79" s="87">
        <f t="shared" si="81"/>
        <v>31963.758147225682</v>
      </c>
      <c r="G79" s="87">
        <f t="shared" si="91"/>
        <v>366428.66574083449</v>
      </c>
      <c r="H79" s="87">
        <f t="shared" si="82"/>
        <v>395600.83385918208</v>
      </c>
      <c r="I79" s="87">
        <f t="shared" si="92"/>
        <v>4535120.2148788469</v>
      </c>
      <c r="J79" s="87">
        <f t="shared" si="83"/>
        <v>22547.657923104813</v>
      </c>
      <c r="K79" s="87">
        <f t="shared" si="93"/>
        <v>258483.62918680036</v>
      </c>
      <c r="L79" s="87">
        <f t="shared" si="84"/>
        <v>279062.06256682193</v>
      </c>
      <c r="M79" s="87">
        <f t="shared" si="94"/>
        <v>3199133.8056761404</v>
      </c>
      <c r="N79" s="82">
        <f t="shared" si="85"/>
        <v>21.781105518116519</v>
      </c>
      <c r="O79" s="82">
        <f t="shared" si="95"/>
        <v>249.69596493009692</v>
      </c>
      <c r="P79" s="82">
        <f t="shared" si="86"/>
        <v>269.57479360384946</v>
      </c>
      <c r="Q79" s="82">
        <f t="shared" si="96"/>
        <v>3090.372899289162</v>
      </c>
      <c r="R79" s="82">
        <f t="shared" si="87"/>
        <v>2.4118005422398618</v>
      </c>
      <c r="S79" s="139">
        <f t="shared" si="97"/>
        <v>27.648590339577439</v>
      </c>
      <c r="T79" s="82">
        <f t="shared" si="88"/>
        <v>29.84975362463533</v>
      </c>
      <c r="U79" s="155">
        <f t="shared" si="98"/>
        <v>342.19397302995537</v>
      </c>
    </row>
  </sheetData>
  <mergeCells count="23">
    <mergeCell ref="T8:U8"/>
    <mergeCell ref="B1:J2"/>
    <mergeCell ref="F7:L7"/>
    <mergeCell ref="N8:O8"/>
    <mergeCell ref="P8:Q8"/>
    <mergeCell ref="R8:S8"/>
    <mergeCell ref="N7:U7"/>
    <mergeCell ref="B7:E7"/>
    <mergeCell ref="B68:E68"/>
    <mergeCell ref="F16:M16"/>
    <mergeCell ref="F29:M29"/>
    <mergeCell ref="F42:M42"/>
    <mergeCell ref="F55:M55"/>
    <mergeCell ref="F68:M68"/>
    <mergeCell ref="B16:E16"/>
    <mergeCell ref="B29:E29"/>
    <mergeCell ref="B42:E42"/>
    <mergeCell ref="B55:E55"/>
    <mergeCell ref="N68:U68"/>
    <mergeCell ref="N16:U16"/>
    <mergeCell ref="N29:U29"/>
    <mergeCell ref="N42:U42"/>
    <mergeCell ref="N55:U55"/>
  </mergeCells>
  <pageMargins left="0.7" right="0.7" top="0.75" bottom="0.75" header="0.3" footer="0.3"/>
  <pageSetup orientation="portrait" r:id="rId1"/>
  <ignoredErrors>
    <ignoredError sqref="D18:D27 F18:R27 C31 F31:R40 D32:D40 D44:D53 F44:R53 D57:D66 F57:Q66 D70:D79 F70:R79" formula="1"/>
  </ignoredError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Y80"/>
  <sheetViews>
    <sheetView topLeftCell="G1" workbookViewId="0">
      <selection activeCell="H10" sqref="H10"/>
    </sheetView>
  </sheetViews>
  <sheetFormatPr defaultRowHeight="15" x14ac:dyDescent="0.25"/>
  <cols>
    <col min="1" max="1" width="17.28515625" customWidth="1"/>
    <col min="2" max="3" width="13.5703125" customWidth="1"/>
    <col min="4" max="4" width="15.7109375" customWidth="1"/>
    <col min="5" max="5" width="19.85546875" customWidth="1"/>
    <col min="6" max="6" width="15.5703125" customWidth="1"/>
    <col min="7" max="7" width="11.85546875" customWidth="1"/>
    <col min="8" max="8" width="14" customWidth="1"/>
    <col min="9" max="9" width="11.85546875" customWidth="1"/>
    <col min="10" max="10" width="12" customWidth="1"/>
    <col min="11" max="11" width="13.140625" customWidth="1"/>
    <col min="12" max="12" width="13.85546875" customWidth="1"/>
    <col min="13" max="13" width="11.7109375" customWidth="1"/>
    <col min="14" max="14" width="15.7109375" customWidth="1"/>
    <col min="15" max="17" width="13.85546875" customWidth="1"/>
    <col min="18" max="18" width="11.7109375" customWidth="1"/>
    <col min="19" max="20" width="12.5703125" customWidth="1"/>
    <col min="21" max="21" width="9.42578125" customWidth="1"/>
    <col min="22" max="22" width="11.5703125" customWidth="1"/>
    <col min="23" max="23" width="6.7109375" customWidth="1"/>
  </cols>
  <sheetData>
    <row r="1" spans="1:25" s="67" customFormat="1" x14ac:dyDescent="0.25">
      <c r="B1" s="963" t="s">
        <v>430</v>
      </c>
      <c r="C1" s="964"/>
      <c r="D1" s="964"/>
      <c r="E1" s="964"/>
      <c r="F1" s="964"/>
      <c r="G1" s="964"/>
      <c r="H1" s="964"/>
      <c r="I1" s="964"/>
      <c r="J1" s="964"/>
      <c r="K1" s="964"/>
      <c r="L1" s="964"/>
      <c r="M1" s="964"/>
      <c r="N1" s="964"/>
    </row>
    <row r="2" spans="1:25" s="67" customFormat="1" x14ac:dyDescent="0.25">
      <c r="B2" s="964"/>
      <c r="C2" s="964"/>
      <c r="D2" s="964"/>
      <c r="E2" s="964"/>
      <c r="F2" s="964"/>
      <c r="G2" s="964"/>
      <c r="H2" s="964"/>
      <c r="I2" s="964"/>
      <c r="J2" s="964"/>
      <c r="K2" s="964"/>
      <c r="L2" s="964"/>
      <c r="M2" s="964"/>
      <c r="N2" s="964"/>
    </row>
    <row r="3" spans="1:25" x14ac:dyDescent="0.25">
      <c r="D3" t="s">
        <v>33</v>
      </c>
      <c r="E3" s="80">
        <f>Summary!K6</f>
        <v>0.03</v>
      </c>
      <c r="G3" t="s">
        <v>34</v>
      </c>
      <c r="J3" s="82">
        <f>Summary!I6</f>
        <v>10</v>
      </c>
      <c r="N3" t="s">
        <v>403</v>
      </c>
      <c r="Q3" s="503">
        <f>Discounting!L3</f>
        <v>7.7340425531914896</v>
      </c>
    </row>
    <row r="4" spans="1:25" x14ac:dyDescent="0.25">
      <c r="E4" s="80"/>
      <c r="J4" s="82"/>
      <c r="S4" t="s">
        <v>400</v>
      </c>
      <c r="U4">
        <f>8/20</f>
        <v>0.4</v>
      </c>
    </row>
    <row r="5" spans="1:25" x14ac:dyDescent="0.25">
      <c r="D5" s="946" t="s">
        <v>60</v>
      </c>
      <c r="E5" s="946"/>
      <c r="F5" s="973" t="s">
        <v>401</v>
      </c>
      <c r="G5" s="973"/>
      <c r="H5" s="550"/>
      <c r="I5" s="550"/>
      <c r="J5" s="87">
        <f>Weighted!O14</f>
        <v>4094.6295586871888</v>
      </c>
      <c r="N5" t="s">
        <v>431</v>
      </c>
      <c r="Q5" s="80">
        <f>Weighted!H21</f>
        <v>0.13553398058252428</v>
      </c>
    </row>
    <row r="6" spans="1:25" x14ac:dyDescent="0.25">
      <c r="E6" s="80"/>
      <c r="J6" s="82"/>
    </row>
    <row r="7" spans="1:25" ht="15.75" x14ac:dyDescent="0.25">
      <c r="B7" s="958" t="s">
        <v>191</v>
      </c>
      <c r="C7" s="958"/>
      <c r="D7" s="958"/>
      <c r="E7" s="958"/>
      <c r="F7" s="960" t="s">
        <v>358</v>
      </c>
      <c r="G7" s="960"/>
      <c r="H7" s="960"/>
      <c r="I7" s="960"/>
      <c r="J7" s="960"/>
      <c r="K7" s="960"/>
      <c r="L7" s="960"/>
      <c r="M7" s="960"/>
      <c r="N7" s="965" t="s">
        <v>402</v>
      </c>
      <c r="O7" s="965"/>
      <c r="P7" s="965"/>
      <c r="Q7" s="965"/>
      <c r="R7" s="979" t="s">
        <v>399</v>
      </c>
      <c r="S7" s="979"/>
      <c r="T7" s="979"/>
      <c r="U7" s="979"/>
      <c r="V7" s="979"/>
      <c r="W7" s="979"/>
      <c r="X7" s="979"/>
      <c r="Y7" s="979"/>
    </row>
    <row r="8" spans="1:25" s="150" customFormat="1" ht="15.75" thickBot="1" x14ac:dyDescent="0.3">
      <c r="B8" s="150" t="s">
        <v>55</v>
      </c>
      <c r="C8" s="549" t="s">
        <v>81</v>
      </c>
      <c r="D8" s="150" t="s">
        <v>56</v>
      </c>
      <c r="E8" s="549" t="s">
        <v>81</v>
      </c>
      <c r="F8" s="968" t="s">
        <v>395</v>
      </c>
      <c r="G8" s="968"/>
      <c r="H8" s="968"/>
      <c r="I8" s="968"/>
      <c r="J8" s="968" t="s">
        <v>396</v>
      </c>
      <c r="K8" s="968"/>
      <c r="L8" s="968"/>
      <c r="M8" s="968"/>
      <c r="N8" s="981" t="s">
        <v>407</v>
      </c>
      <c r="O8" s="981"/>
      <c r="P8" s="981"/>
      <c r="Q8" s="981"/>
      <c r="R8" s="970" t="s">
        <v>397</v>
      </c>
      <c r="S8" s="970"/>
      <c r="T8" s="970"/>
      <c r="U8" s="566"/>
      <c r="V8" s="978" t="s">
        <v>398</v>
      </c>
      <c r="W8" s="978"/>
      <c r="X8" s="978"/>
      <c r="Y8" s="978"/>
    </row>
    <row r="9" spans="1:25" s="150" customFormat="1" ht="16.5" thickTop="1" thickBot="1" x14ac:dyDescent="0.3">
      <c r="C9" s="549"/>
      <c r="E9" s="549"/>
      <c r="F9" s="549" t="s">
        <v>393</v>
      </c>
      <c r="H9" s="549" t="s">
        <v>394</v>
      </c>
      <c r="I9" s="549"/>
      <c r="J9" s="549" t="s">
        <v>393</v>
      </c>
      <c r="L9" s="549" t="s">
        <v>394</v>
      </c>
      <c r="M9" s="549"/>
      <c r="N9" s="982" t="s">
        <v>404</v>
      </c>
      <c r="O9" s="982"/>
      <c r="P9" s="980" t="s">
        <v>405</v>
      </c>
      <c r="Q9" s="980"/>
      <c r="R9" s="562" t="s">
        <v>393</v>
      </c>
      <c r="S9" s="562"/>
      <c r="T9" s="562" t="s">
        <v>394</v>
      </c>
      <c r="U9" s="562"/>
      <c r="V9" s="568" t="s">
        <v>393</v>
      </c>
      <c r="W9" s="569"/>
      <c r="X9" s="570" t="s">
        <v>394</v>
      </c>
      <c r="Y9" s="571"/>
    </row>
    <row r="10" spans="1:25" ht="31.5" thickTop="1" thickBot="1" x14ac:dyDescent="0.3">
      <c r="A10" s="86" t="str">
        <f>Prevention!E10</f>
        <v>Water Fluoridation</v>
      </c>
      <c r="B10" s="83">
        <f>Fluoridation!L9</f>
        <v>18125</v>
      </c>
      <c r="C10" s="148">
        <f>Fluoridation!K9*Fluoridation!D12</f>
        <v>18125</v>
      </c>
      <c r="D10" s="83">
        <f>Fluoridation!M9</f>
        <v>200280</v>
      </c>
      <c r="E10" s="84">
        <f>Fluoridation!K9*Fluoridation!E12</f>
        <v>79750</v>
      </c>
      <c r="F10" s="552">
        <f>(Summary!C11*'Total Discounting'!$Q$5*Effectiveness!$F$7)*'Total Discounting'!$J$5</f>
        <v>134045.38696631105</v>
      </c>
      <c r="H10" s="552">
        <f>(Summary!C11*'Total Discounting'!$Q$5*Effectiveness!$G$7)*'Total Discounting'!$J$5</f>
        <v>180445.71322388027</v>
      </c>
      <c r="I10" s="552"/>
      <c r="J10" s="138">
        <f>(Summary!$D$11*'Total Discounting'!$Q$5*Effectiveness!$F$7)*'Total Discounting'!$J$5</f>
        <v>253806.06638723481</v>
      </c>
      <c r="L10" s="87">
        <f>(Summary!$D$11*'Total Discounting'!$Q$5*Effectiveness!$G$7)*'Total Discounting'!$J$5</f>
        <v>341662.01244435454</v>
      </c>
      <c r="M10" s="87"/>
      <c r="N10" s="976">
        <f>Summary!C11*'Total Discounting'!$Q$5*'Total Discounting'!$Q$3</f>
        <v>973.8015575294362</v>
      </c>
      <c r="O10" s="977"/>
      <c r="P10" s="974">
        <f>Summary!D11*'Total Discounting'!$Q$5*'Total Discounting'!$Q$3</f>
        <v>1843.8287833092338</v>
      </c>
      <c r="Q10" s="975"/>
      <c r="R10" s="240">
        <f>N10*Effectiveness!F7</f>
        <v>253.18840495765343</v>
      </c>
      <c r="S10" s="240"/>
      <c r="T10" s="240">
        <f>N10*Effectiveness!G7</f>
        <v>340.83054513530266</v>
      </c>
      <c r="U10" s="567"/>
      <c r="V10" s="586">
        <f>P10*Effectiveness!F7</f>
        <v>479.39548366040083</v>
      </c>
      <c r="W10" s="587"/>
      <c r="X10" s="583">
        <f>P10*Effectiveness!G7</f>
        <v>645.3400741582318</v>
      </c>
      <c r="Y10" s="584"/>
    </row>
    <row r="11" spans="1:25" ht="16.5" thickTop="1" thickBot="1" x14ac:dyDescent="0.3">
      <c r="A11" t="str">
        <f>Prevention!E11</f>
        <v>Dental Sealants</v>
      </c>
      <c r="B11" s="83">
        <f>Sealants!M14</f>
        <v>12420</v>
      </c>
      <c r="D11" s="83">
        <f>Sealants!N14</f>
        <v>226938.23999999999</v>
      </c>
      <c r="E11" s="84"/>
      <c r="F11" s="552">
        <f>(Summary!C12*'Total Discounting'!$Q$5*(Effectiveness!$F$8*$U$4))*'Total Discounting'!$J$5</f>
        <v>39402.262460081489</v>
      </c>
      <c r="H11" s="552">
        <f>(Summary!C12*'Total Discounting'!$Q$5*(Effectiveness!$G$8*$U$4))*'Total Discounting'!$J$5</f>
        <v>43286.992561779676</v>
      </c>
      <c r="I11" s="552"/>
      <c r="J11" s="138">
        <f>(Summary!$D$12*'Total Discounting'!$Q$5*(Effectiveness!F8*$U$4))*'Total Discounting'!$J$5</f>
        <v>405843.30333883932</v>
      </c>
      <c r="L11" s="138">
        <f>(Summary!$D$12*'Total Discounting'!$Q$5*(Effectiveness!G8*$U$4))*'Total Discounting'!$J$5</f>
        <v>445856.02338633069</v>
      </c>
      <c r="M11" s="138"/>
      <c r="N11" s="976">
        <f>Summary!C12*'Total Discounting'!$Q$5*'Total Discounting'!$Q$3</f>
        <v>262.05639330716792</v>
      </c>
      <c r="O11" s="977"/>
      <c r="P11" s="974">
        <f>Summary!D12*'Total Discounting'!$Q$5*'Total Discounting'!$Q$3</f>
        <v>2699.1808510638298</v>
      </c>
      <c r="Q11" s="975"/>
      <c r="R11" s="240">
        <f>N11*(Effectiveness!F8*U4)</f>
        <v>74.424015699235682</v>
      </c>
      <c r="S11" s="240"/>
      <c r="T11" s="240">
        <f>N11*(Effectiveness!G8*U4)</f>
        <v>81.761594711836409</v>
      </c>
      <c r="U11" s="567"/>
      <c r="V11" s="579">
        <f>P11*(Effectiveness!F8*$U$4)</f>
        <v>766.56736170212764</v>
      </c>
      <c r="W11" s="572"/>
      <c r="X11" s="585">
        <f>P11*(Effectiveness!G8*$U$4)</f>
        <v>842.14442553191509</v>
      </c>
      <c r="Y11" s="573"/>
    </row>
    <row r="12" spans="1:25" ht="16.5" thickTop="1" thickBot="1" x14ac:dyDescent="0.3">
      <c r="A12" t="str">
        <f>Prevention!E12</f>
        <v>Fluoride Varnish</v>
      </c>
      <c r="B12" s="83">
        <f>Varnish!K14</f>
        <v>62923.154999999999</v>
      </c>
      <c r="D12" s="83">
        <f>Varnish!L14</f>
        <v>146775</v>
      </c>
      <c r="E12" s="84"/>
      <c r="F12" s="552">
        <f>(Summary!C13*'Total Discounting'!$Q$5*Effectiveness!$F$9)*'Total Discounting'!$J$5</f>
        <v>130959.8013426765</v>
      </c>
      <c r="H12" s="552">
        <f>(Summary!C13*'Total Discounting'!$Q$5*Effectiveness!$G$9)*'Total Discounting'!$J$5</f>
        <v>174613.06845690199</v>
      </c>
      <c r="I12" s="552"/>
      <c r="J12" s="138">
        <f>(Summary!$D$13*'Total Discounting'!$Q$5*Effectiveness!F9)*'Total Discounting'!$J$5</f>
        <v>257224.6288767292</v>
      </c>
      <c r="L12" s="87">
        <f>(Summary!$D$13*'Total Discounting'!$Q$5*Effectiveness!G9)*'Total Discounting'!$J$5</f>
        <v>342966.17183563887</v>
      </c>
      <c r="M12" s="87"/>
      <c r="N12" s="976">
        <f>Summary!C13*'Total Discounting'!$Q$5*'Total Discounting'!$Q$3</f>
        <v>1374.2237265027888</v>
      </c>
      <c r="O12" s="977"/>
      <c r="P12" s="974">
        <f>Summary!D13*'Total Discounting'!$Q$5*'Total Discounting'!$Q$3</f>
        <v>2699.1808510638298</v>
      </c>
      <c r="Q12" s="975"/>
      <c r="R12" s="240">
        <f>N12*Effectiveness!F9</f>
        <v>247.36027077050198</v>
      </c>
      <c r="S12" s="240"/>
      <c r="T12" s="240">
        <f>N12*Effectiveness!G9</f>
        <v>329.81369436066933</v>
      </c>
      <c r="U12" s="567"/>
      <c r="V12" s="581">
        <f>P12*Effectiveness!F9</f>
        <v>485.85255319148933</v>
      </c>
      <c r="W12" s="582"/>
      <c r="X12" s="583">
        <f>P12*Effectiveness!G9</f>
        <v>647.80340425531915</v>
      </c>
      <c r="Y12" s="584"/>
    </row>
    <row r="13" spans="1:25" ht="16.5" thickTop="1" thickBot="1" x14ac:dyDescent="0.3">
      <c r="A13" t="str">
        <f>Prevention!E13</f>
        <v>Toothbrush/      Toothpaste</v>
      </c>
      <c r="B13" s="83">
        <f>Toothbrushes!L9</f>
        <v>62315.000000000007</v>
      </c>
      <c r="D13" s="83">
        <f>Toothbrushes!M9</f>
        <v>113300</v>
      </c>
      <c r="E13" s="84"/>
      <c r="F13" s="552">
        <f>(Summary!C14*'Total Discounting'!$Q$5*Effectiveness!$F$10)*'Total Discounting'!$J$5</f>
        <v>165052.47019590126</v>
      </c>
      <c r="H13" s="552">
        <f>(Summary!C14*'Total Discounting'!$Q$5*Effectiveness!$G$10)*'Total Discounting'!$J$5</f>
        <v>220069.96026120172</v>
      </c>
      <c r="I13" s="552"/>
      <c r="J13" s="138">
        <f>(Summary!$D$14*'Total Discounting'!$Q$5*Effectiveness!F10)*'Total Discounting'!$J$5</f>
        <v>300095.40035618405</v>
      </c>
      <c r="L13" s="87">
        <f>(Summary!$D$14*'Total Discounting'!$Q$5*Effectiveness!G10)*'Total Discounting'!$J$5</f>
        <v>400127.20047491213</v>
      </c>
      <c r="M13" s="87"/>
      <c r="N13" s="976">
        <f>Summary!C14*'Total Discounting'!$Q$5*'Total Discounting'!$Q$3</f>
        <v>1484.5494680851068</v>
      </c>
      <c r="O13" s="977"/>
      <c r="P13" s="974">
        <f>Summary!D14*'Total Discounting'!$Q$5*'Total Discounting'!$Q$3</f>
        <v>2699.1808510638298</v>
      </c>
      <c r="Q13" s="975"/>
      <c r="R13" s="240">
        <f>N13*Effectiveness!F10</f>
        <v>311.7553882978724</v>
      </c>
      <c r="S13" s="240"/>
      <c r="T13" s="240">
        <f>N13*Effectiveness!G10</f>
        <v>415.67385106382994</v>
      </c>
      <c r="U13" s="567"/>
      <c r="V13" s="580">
        <f>P13*Effectiveness!F10</f>
        <v>566.82797872340427</v>
      </c>
      <c r="W13" s="578"/>
      <c r="X13" s="577">
        <f>P13*Effectiveness!G10</f>
        <v>755.77063829787244</v>
      </c>
      <c r="Y13" s="576"/>
    </row>
    <row r="14" spans="1:25" ht="16.5" thickTop="1" thickBot="1" x14ac:dyDescent="0.3">
      <c r="A14" t="str">
        <f>Prevention!E14</f>
        <v>Initial Exam</v>
      </c>
      <c r="B14" s="83">
        <f>Initial_exam!J8</f>
        <v>10850.76</v>
      </c>
      <c r="D14" s="83">
        <f>Initial_exam!K8</f>
        <v>38178.600000000006</v>
      </c>
      <c r="E14" s="84"/>
      <c r="F14" s="552">
        <f>(Summary!C15*'Total Discounting'!$Q$5*Effectiveness!$F$11)*'Total Discounting'!$J$5</f>
        <v>19778.825832074712</v>
      </c>
      <c r="H14" s="552">
        <f>(Summary!C15*'Total Discounting'!$Q$5*Effectiveness!$G$11*'Total Discounting'!$J$5)</f>
        <v>28769.201210290492</v>
      </c>
      <c r="I14" s="552"/>
      <c r="J14" s="138">
        <f>(Summary!$D$15*'Total Discounting'!$Q$5*Effectiveness!F11)*'Total Discounting'!$J$5</f>
        <v>244793.49255129509</v>
      </c>
      <c r="L14" s="87">
        <f>(Summary!$D$15*'Total Discounting'!$Q$5*Effectiveness!G11)*'Total Discounting'!$J$5</f>
        <v>356063.26189279283</v>
      </c>
      <c r="M14" s="87"/>
      <c r="N14" s="976">
        <f>Summary!C15*'Total Discounting'!$Q$5*'Total Discounting'!$Q$3</f>
        <v>169.81254286304485</v>
      </c>
      <c r="O14" s="977"/>
      <c r="P14" s="974">
        <f>Summary!D15*'Total Discounting'!$Q$5*'Total Discounting'!$Q$3</f>
        <v>2101.6922743234873</v>
      </c>
      <c r="Q14" s="975"/>
      <c r="R14" s="240">
        <f>N14*Effectiveness!F11</f>
        <v>37.35875942986987</v>
      </c>
      <c r="S14" s="240"/>
      <c r="T14" s="240">
        <f>N14*Effectiveness!G11</f>
        <v>54.340013716174354</v>
      </c>
      <c r="U14" s="567"/>
      <c r="V14" s="574">
        <f>P14*Effectiveness!F11</f>
        <v>462.37230035116721</v>
      </c>
      <c r="W14" s="575"/>
      <c r="X14" s="577">
        <f>P14*Effectiveness!G11</f>
        <v>672.5415277835159</v>
      </c>
      <c r="Y14" s="576"/>
    </row>
    <row r="15" spans="1:25" ht="15.75" thickTop="1" x14ac:dyDescent="0.25">
      <c r="B15" s="83"/>
      <c r="C15" s="83"/>
      <c r="D15" s="84"/>
      <c r="E15" s="84"/>
      <c r="F15" s="84"/>
      <c r="G15" s="84"/>
      <c r="H15" s="84"/>
      <c r="I15" s="84"/>
      <c r="J15" s="87"/>
      <c r="K15" s="87"/>
      <c r="L15" s="87"/>
      <c r="M15" s="87"/>
      <c r="N15" s="84"/>
      <c r="O15" s="84"/>
      <c r="P15" s="84"/>
      <c r="Q15" s="84"/>
    </row>
    <row r="16" spans="1:25" x14ac:dyDescent="0.25">
      <c r="B16" s="83"/>
      <c r="C16" s="83"/>
      <c r="D16" s="84"/>
      <c r="E16" s="84"/>
      <c r="F16" s="84"/>
      <c r="G16" s="84"/>
      <c r="H16" s="84"/>
      <c r="I16" s="84"/>
      <c r="J16" s="87"/>
      <c r="K16" s="87"/>
      <c r="L16" s="87"/>
      <c r="M16" s="87"/>
      <c r="N16" s="84"/>
      <c r="O16" s="84"/>
      <c r="P16" s="84"/>
      <c r="Q16" s="84"/>
    </row>
    <row r="17" spans="1:25" s="67" customFormat="1" ht="18.75" x14ac:dyDescent="0.3">
      <c r="A17" s="67" t="str">
        <f>Summary!B11</f>
        <v>Water Fluoridation</v>
      </c>
      <c r="B17" s="942" t="s">
        <v>150</v>
      </c>
      <c r="C17" s="942"/>
      <c r="D17" s="942"/>
      <c r="E17" s="942"/>
      <c r="F17" s="962" t="s">
        <v>152</v>
      </c>
      <c r="G17" s="962"/>
      <c r="H17" s="962"/>
      <c r="I17" s="962"/>
      <c r="J17" s="962"/>
      <c r="K17" s="962"/>
      <c r="L17" s="962"/>
      <c r="M17" s="962"/>
      <c r="N17" s="972" t="s">
        <v>406</v>
      </c>
      <c r="O17" s="972"/>
      <c r="P17" s="972"/>
      <c r="Q17" s="972"/>
      <c r="R17" s="971" t="s">
        <v>151</v>
      </c>
      <c r="S17" s="971"/>
      <c r="T17" s="971"/>
      <c r="U17" s="971"/>
      <c r="V17" s="971"/>
      <c r="W17" s="971"/>
      <c r="X17" s="565"/>
      <c r="Y17" s="565"/>
    </row>
    <row r="18" spans="1:25" x14ac:dyDescent="0.25">
      <c r="A18" s="550" t="s">
        <v>58</v>
      </c>
      <c r="B18" t="s">
        <v>57</v>
      </c>
      <c r="C18" t="s">
        <v>61</v>
      </c>
      <c r="D18" t="s">
        <v>59</v>
      </c>
      <c r="E18" t="s">
        <v>61</v>
      </c>
      <c r="F18" t="s">
        <v>410</v>
      </c>
      <c r="G18" t="s">
        <v>61</v>
      </c>
      <c r="H18" t="s">
        <v>409</v>
      </c>
      <c r="I18" t="s">
        <v>61</v>
      </c>
      <c r="J18" t="s">
        <v>411</v>
      </c>
      <c r="K18" t="s">
        <v>61</v>
      </c>
      <c r="L18" t="s">
        <v>412</v>
      </c>
      <c r="M18" t="s">
        <v>61</v>
      </c>
      <c r="N18" t="s">
        <v>65</v>
      </c>
      <c r="O18" t="s">
        <v>61</v>
      </c>
      <c r="P18" t="s">
        <v>66</v>
      </c>
      <c r="Q18" t="s">
        <v>61</v>
      </c>
      <c r="R18" t="s">
        <v>413</v>
      </c>
      <c r="S18" t="s">
        <v>61</v>
      </c>
      <c r="T18" t="s">
        <v>414</v>
      </c>
      <c r="U18" t="s">
        <v>89</v>
      </c>
      <c r="V18" t="s">
        <v>415</v>
      </c>
      <c r="W18" t="s">
        <v>89</v>
      </c>
      <c r="X18" t="s">
        <v>416</v>
      </c>
      <c r="Y18" t="s">
        <v>61</v>
      </c>
    </row>
    <row r="19" spans="1:25" x14ac:dyDescent="0.25">
      <c r="A19">
        <v>1</v>
      </c>
      <c r="B19" s="137">
        <f>B10/(1+E3)^A19</f>
        <v>17597.087378640776</v>
      </c>
      <c r="C19" s="85">
        <f>B19</f>
        <v>17597.087378640776</v>
      </c>
      <c r="D19" s="137">
        <f>D10/(1+E3)^A19</f>
        <v>194446.60194174756</v>
      </c>
      <c r="E19" s="85">
        <f>D19</f>
        <v>194446.60194174756</v>
      </c>
      <c r="F19" s="87">
        <f t="shared" ref="F19:F28" si="0">$F$10/(1+$E$3)^A19</f>
        <v>130141.15239447674</v>
      </c>
      <c r="G19" s="87">
        <f>F19</f>
        <v>130141.15239447674</v>
      </c>
      <c r="H19" s="87">
        <f>$H$10/(1+$E$3)^A19</f>
        <v>175190.01283871871</v>
      </c>
      <c r="I19" s="87">
        <f>H19</f>
        <v>175190.01283871871</v>
      </c>
      <c r="J19" s="87">
        <f t="shared" ref="J19:J28" si="1">$J$10/(1+$E$3)^A19</f>
        <v>246413.65668663572</v>
      </c>
      <c r="K19" s="87">
        <f>J19</f>
        <v>246413.65668663572</v>
      </c>
      <c r="L19" s="87">
        <f>$L$10/(1+$E$3)^A19</f>
        <v>331710.69169354811</v>
      </c>
      <c r="M19" s="87">
        <f>L19</f>
        <v>331710.69169354811</v>
      </c>
      <c r="N19" s="563">
        <f>$N$10/(1+$E$3)^A19</f>
        <v>945.43840536838468</v>
      </c>
      <c r="O19" s="563">
        <f>N19</f>
        <v>945.43840536838468</v>
      </c>
      <c r="P19" s="563">
        <f t="shared" ref="P19:P28" si="2">$P$10/(1+$E$3)^A19</f>
        <v>1790.1250323390618</v>
      </c>
      <c r="Q19" s="563">
        <f>P19</f>
        <v>1790.1250323390618</v>
      </c>
      <c r="R19" s="82">
        <f>$R$10/(1+$E$3)^A19</f>
        <v>245.81398539578004</v>
      </c>
      <c r="S19" s="82">
        <f>R19</f>
        <v>245.81398539578004</v>
      </c>
      <c r="T19" s="82">
        <f>$T$10/(1+$E$3)^A19</f>
        <v>330.90344187893459</v>
      </c>
      <c r="U19" s="139">
        <f>T19</f>
        <v>330.90344187893459</v>
      </c>
      <c r="V19" s="82">
        <f>$V$10/(1+$E$3)^A19</f>
        <v>465.43250840815614</v>
      </c>
      <c r="W19" s="82">
        <f>V19</f>
        <v>465.43250840815614</v>
      </c>
      <c r="X19" s="82">
        <f>$X$10/(1+$E$3)^A19</f>
        <v>626.54376131867161</v>
      </c>
      <c r="Y19" s="82">
        <f>X19</f>
        <v>626.54376131867161</v>
      </c>
    </row>
    <row r="20" spans="1:25" x14ac:dyDescent="0.25">
      <c r="A20">
        <v>2</v>
      </c>
      <c r="B20" s="87">
        <f>$C$10/(1+$E$3)^$A$20</f>
        <v>17084.550853049299</v>
      </c>
      <c r="C20" s="87">
        <f>C19+B20</f>
        <v>34681.638231690071</v>
      </c>
      <c r="D20" s="87">
        <f t="shared" ref="D20:D28" si="3">$E$10/(1+$E$3)^A20</f>
        <v>75172.023753416914</v>
      </c>
      <c r="E20" s="87">
        <f>E19+D20</f>
        <v>269618.62569516449</v>
      </c>
      <c r="F20" s="87">
        <f t="shared" si="0"/>
        <v>126350.63339269588</v>
      </c>
      <c r="G20" s="87">
        <f>G19+F20</f>
        <v>256491.78578717262</v>
      </c>
      <c r="H20" s="87">
        <f t="shared" ref="H20:H28" si="4">$H$10/(1+$E$3)^A20</f>
        <v>170087.39110555215</v>
      </c>
      <c r="I20" s="87">
        <f>I19+H20</f>
        <v>345277.40394427086</v>
      </c>
      <c r="J20" s="87">
        <f t="shared" si="1"/>
        <v>239236.55988993761</v>
      </c>
      <c r="K20" s="87">
        <f>K19+J20</f>
        <v>485650.21657657332</v>
      </c>
      <c r="L20" s="87">
        <f t="shared" ref="L20:L28" si="5">$L$10/(1+$E$3)^A20</f>
        <v>322049.21523645445</v>
      </c>
      <c r="M20" s="87">
        <f>M19+L20</f>
        <v>653759.90693000262</v>
      </c>
      <c r="N20" s="563">
        <f t="shared" ref="N20:N28" si="6">$N$10/(1+$E$3)^A20</f>
        <v>917.90136443532492</v>
      </c>
      <c r="O20" s="563">
        <f>O19+N20</f>
        <v>1863.3397698037097</v>
      </c>
      <c r="P20" s="563">
        <f t="shared" si="2"/>
        <v>1737.9854682903515</v>
      </c>
      <c r="Q20" s="563">
        <f>Q19+P20</f>
        <v>3528.1105006294133</v>
      </c>
      <c r="R20" s="82">
        <f t="shared" ref="R20:R28" si="7">$R$10/(1+$E$3)^A20</f>
        <v>238.65435475318452</v>
      </c>
      <c r="S20" s="82">
        <f>S19+R20</f>
        <v>484.46834014896456</v>
      </c>
      <c r="T20" s="82">
        <f t="shared" ref="T20:T28" si="8">$T$10/(1+$E$3)^A20</f>
        <v>321.26547755236373</v>
      </c>
      <c r="U20" s="139">
        <f>U19+T20</f>
        <v>652.16891943129826</v>
      </c>
      <c r="V20" s="82">
        <f t="shared" ref="V20:V28" si="9">$V$10/(1+$E$3)^A20</f>
        <v>451.87622175549143</v>
      </c>
      <c r="W20" s="82">
        <f>W19+V20</f>
        <v>917.30873016364762</v>
      </c>
      <c r="X20" s="82">
        <f t="shared" ref="X20:X28" si="10">$X$10/(1+$E$3)^A20</f>
        <v>608.29491390162298</v>
      </c>
      <c r="Y20" s="82">
        <f>Y19+X20</f>
        <v>1234.8386752202946</v>
      </c>
    </row>
    <row r="21" spans="1:25" x14ac:dyDescent="0.25">
      <c r="A21">
        <v>3</v>
      </c>
      <c r="B21" s="87">
        <f>$C$10/(1+$E$3)^$A$21</f>
        <v>16586.942575776018</v>
      </c>
      <c r="C21" s="87">
        <f>C20+B21</f>
        <v>51268.580807466089</v>
      </c>
      <c r="D21" s="87">
        <f t="shared" si="3"/>
        <v>72982.547333414477</v>
      </c>
      <c r="E21" s="87">
        <f>E20+D21</f>
        <v>342601.17302857898</v>
      </c>
      <c r="F21" s="87">
        <f t="shared" si="0"/>
        <v>122670.51785698629</v>
      </c>
      <c r="G21" s="87">
        <f t="shared" ref="G21:G28" si="11">G20+F21</f>
        <v>379162.30364415888</v>
      </c>
      <c r="H21" s="87">
        <f t="shared" si="4"/>
        <v>165133.38942286617</v>
      </c>
      <c r="I21" s="87">
        <f t="shared" ref="I21:I28" si="12">I20+H21</f>
        <v>510410.79336713703</v>
      </c>
      <c r="J21" s="87">
        <f t="shared" si="1"/>
        <v>232268.50474751223</v>
      </c>
      <c r="K21" s="87">
        <f t="shared" ref="K21:K28" si="13">K20+J21</f>
        <v>717918.72132408549</v>
      </c>
      <c r="L21" s="87">
        <f t="shared" si="5"/>
        <v>312669.14100626647</v>
      </c>
      <c r="M21" s="87">
        <f t="shared" ref="M21:M28" si="14">M20+L21</f>
        <v>966429.04793626908</v>
      </c>
      <c r="N21" s="563">
        <f t="shared" si="6"/>
        <v>891.16637323817952</v>
      </c>
      <c r="O21" s="563">
        <f t="shared" ref="O21:O28" si="15">O20+N21</f>
        <v>2754.5061430418891</v>
      </c>
      <c r="P21" s="563">
        <f t="shared" si="2"/>
        <v>1687.3645323207295</v>
      </c>
      <c r="Q21" s="563">
        <f t="shared" ref="Q21:Q28" si="16">Q20+P21</f>
        <v>5215.475032950143</v>
      </c>
      <c r="R21" s="82">
        <f t="shared" si="7"/>
        <v>231.70325704192669</v>
      </c>
      <c r="S21" s="82">
        <f t="shared" ref="S21:S28" si="17">S20+R21</f>
        <v>716.17159719089125</v>
      </c>
      <c r="T21" s="82">
        <f t="shared" si="8"/>
        <v>311.90823063336285</v>
      </c>
      <c r="U21" s="139">
        <f t="shared" ref="U21:U28" si="18">U20+T21</f>
        <v>964.07715006466105</v>
      </c>
      <c r="V21" s="82">
        <f t="shared" si="9"/>
        <v>438.71477840338969</v>
      </c>
      <c r="W21" s="82">
        <f t="shared" ref="W21:W28" si="19">W20+V21</f>
        <v>1356.0235085670374</v>
      </c>
      <c r="X21" s="82">
        <f t="shared" si="10"/>
        <v>590.57758631225533</v>
      </c>
      <c r="Y21" s="82">
        <f t="shared" ref="Y21:Y28" si="20">Y20+X21</f>
        <v>1825.4162615325499</v>
      </c>
    </row>
    <row r="22" spans="1:25" x14ac:dyDescent="0.25">
      <c r="A22">
        <v>4</v>
      </c>
      <c r="B22" s="87">
        <f>$C$10/(1+$E$3)^$A$22</f>
        <v>16103.827743471862</v>
      </c>
      <c r="C22" s="87">
        <f t="shared" ref="C22:C28" si="21">C21+B22</f>
        <v>67372.408550937951</v>
      </c>
      <c r="D22" s="87">
        <f t="shared" si="3"/>
        <v>70856.842071276202</v>
      </c>
      <c r="E22" s="87">
        <f t="shared" ref="E22:E28" si="22">E21+D22</f>
        <v>413458.0150998552</v>
      </c>
      <c r="F22" s="87">
        <f t="shared" si="0"/>
        <v>119097.59015241388</v>
      </c>
      <c r="G22" s="87">
        <f t="shared" si="11"/>
        <v>498259.89379657275</v>
      </c>
      <c r="H22" s="87">
        <f t="shared" si="4"/>
        <v>160323.67905132638</v>
      </c>
      <c r="I22" s="87">
        <f t="shared" si="12"/>
        <v>670734.47241846344</v>
      </c>
      <c r="J22" s="87">
        <f t="shared" si="1"/>
        <v>225503.40266748762</v>
      </c>
      <c r="K22" s="87">
        <f t="shared" si="13"/>
        <v>943422.12399157311</v>
      </c>
      <c r="L22" s="87">
        <f t="shared" si="5"/>
        <v>303562.27282161795</v>
      </c>
      <c r="M22" s="87">
        <f t="shared" si="14"/>
        <v>1269991.3207578871</v>
      </c>
      <c r="N22" s="563">
        <f t="shared" si="6"/>
        <v>865.21007110502876</v>
      </c>
      <c r="O22" s="563">
        <f t="shared" si="15"/>
        <v>3619.716214146918</v>
      </c>
      <c r="P22" s="563">
        <f t="shared" si="2"/>
        <v>1638.2179925443977</v>
      </c>
      <c r="Q22" s="563">
        <f t="shared" si="16"/>
        <v>6853.693025494541</v>
      </c>
      <c r="R22" s="82">
        <f t="shared" si="7"/>
        <v>224.9546184873075</v>
      </c>
      <c r="S22" s="82">
        <f t="shared" si="17"/>
        <v>941.12621567819872</v>
      </c>
      <c r="T22" s="82">
        <f t="shared" si="8"/>
        <v>302.82352488676003</v>
      </c>
      <c r="U22" s="139">
        <f t="shared" si="18"/>
        <v>1266.900674951421</v>
      </c>
      <c r="V22" s="82">
        <f t="shared" si="9"/>
        <v>425.93667806154343</v>
      </c>
      <c r="W22" s="82">
        <f t="shared" si="19"/>
        <v>1781.9601866285809</v>
      </c>
      <c r="X22" s="82">
        <f t="shared" si="10"/>
        <v>573.37629739053921</v>
      </c>
      <c r="Y22" s="82">
        <f t="shared" si="20"/>
        <v>2398.792558923089</v>
      </c>
    </row>
    <row r="23" spans="1:25" x14ac:dyDescent="0.25">
      <c r="A23">
        <v>5</v>
      </c>
      <c r="B23" s="87">
        <f>$C$10/(1+$E$3)^$A$23</f>
        <v>15634.784216962975</v>
      </c>
      <c r="C23" s="87">
        <f t="shared" si="21"/>
        <v>83007.192767900924</v>
      </c>
      <c r="D23" s="87">
        <f t="shared" si="3"/>
        <v>68793.050554637084</v>
      </c>
      <c r="E23" s="87">
        <f t="shared" si="22"/>
        <v>482251.0656544923</v>
      </c>
      <c r="F23" s="87">
        <f t="shared" si="0"/>
        <v>115628.72830331445</v>
      </c>
      <c r="G23" s="87">
        <f t="shared" si="11"/>
        <v>613888.62209988723</v>
      </c>
      <c r="H23" s="87">
        <f t="shared" si="4"/>
        <v>155654.05733138486</v>
      </c>
      <c r="I23" s="87">
        <f t="shared" si="12"/>
        <v>826388.5297498483</v>
      </c>
      <c r="J23" s="87">
        <f t="shared" si="1"/>
        <v>218935.34239561908</v>
      </c>
      <c r="K23" s="87">
        <f t="shared" si="13"/>
        <v>1162357.4663871923</v>
      </c>
      <c r="L23" s="87">
        <f t="shared" si="5"/>
        <v>294720.65322487178</v>
      </c>
      <c r="M23" s="87">
        <f t="shared" si="14"/>
        <v>1564711.9739827588</v>
      </c>
      <c r="N23" s="563">
        <f t="shared" si="6"/>
        <v>840.00977777187256</v>
      </c>
      <c r="O23" s="563">
        <f t="shared" si="15"/>
        <v>4459.7259919187909</v>
      </c>
      <c r="P23" s="563">
        <f t="shared" si="2"/>
        <v>1590.5029053829105</v>
      </c>
      <c r="Q23" s="563">
        <f t="shared" si="16"/>
        <v>8444.1959308774512</v>
      </c>
      <c r="R23" s="82">
        <f t="shared" si="7"/>
        <v>218.40254222068688</v>
      </c>
      <c r="S23" s="82">
        <f t="shared" si="17"/>
        <v>1159.5287578988855</v>
      </c>
      <c r="T23" s="82">
        <f t="shared" si="8"/>
        <v>294.00342222015541</v>
      </c>
      <c r="U23" s="139">
        <f t="shared" si="18"/>
        <v>1560.9040971715765</v>
      </c>
      <c r="V23" s="82">
        <f t="shared" si="9"/>
        <v>413.53075539955677</v>
      </c>
      <c r="W23" s="82">
        <f t="shared" si="19"/>
        <v>2195.4909420281379</v>
      </c>
      <c r="X23" s="82">
        <f t="shared" si="10"/>
        <v>556.67601688401862</v>
      </c>
      <c r="Y23" s="82">
        <f t="shared" si="20"/>
        <v>2955.4685758071078</v>
      </c>
    </row>
    <row r="24" spans="1:25" x14ac:dyDescent="0.25">
      <c r="A24">
        <v>6</v>
      </c>
      <c r="B24" s="87">
        <f>$C$10/(1+$E$3)^$A$24</f>
        <v>15179.402152391236</v>
      </c>
      <c r="C24" s="87">
        <f t="shared" si="21"/>
        <v>98186.594920292162</v>
      </c>
      <c r="D24" s="87">
        <f t="shared" si="3"/>
        <v>66789.369470521444</v>
      </c>
      <c r="E24" s="87">
        <f t="shared" si="22"/>
        <v>549040.4351250137</v>
      </c>
      <c r="F24" s="87">
        <f t="shared" si="0"/>
        <v>112260.90126535382</v>
      </c>
      <c r="G24" s="87">
        <f t="shared" si="11"/>
        <v>726149.52336524101</v>
      </c>
      <c r="H24" s="87">
        <f t="shared" si="4"/>
        <v>151120.44401105325</v>
      </c>
      <c r="I24" s="87">
        <f t="shared" si="12"/>
        <v>977508.97376090148</v>
      </c>
      <c r="J24" s="87">
        <f t="shared" si="1"/>
        <v>212558.58485011559</v>
      </c>
      <c r="K24" s="87">
        <f t="shared" si="13"/>
        <v>1374916.051237308</v>
      </c>
      <c r="L24" s="87">
        <f t="shared" si="5"/>
        <v>286136.55652900174</v>
      </c>
      <c r="M24" s="87">
        <f t="shared" si="14"/>
        <v>1850848.5305117606</v>
      </c>
      <c r="N24" s="563">
        <f t="shared" si="6"/>
        <v>815.54347356492485</v>
      </c>
      <c r="O24" s="563">
        <f t="shared" si="15"/>
        <v>5275.269465483716</v>
      </c>
      <c r="P24" s="563">
        <f t="shared" si="2"/>
        <v>1544.1775780416606</v>
      </c>
      <c r="Q24" s="563">
        <f t="shared" si="16"/>
        <v>9988.3735089191123</v>
      </c>
      <c r="R24" s="82">
        <f t="shared" si="7"/>
        <v>212.04130312688048</v>
      </c>
      <c r="S24" s="82">
        <f t="shared" si="17"/>
        <v>1371.5700610257659</v>
      </c>
      <c r="T24" s="82">
        <f t="shared" si="8"/>
        <v>285.4402157477237</v>
      </c>
      <c r="U24" s="139">
        <f t="shared" si="18"/>
        <v>1846.3443129193001</v>
      </c>
      <c r="V24" s="82">
        <f t="shared" si="9"/>
        <v>401.48617029083181</v>
      </c>
      <c r="W24" s="82">
        <f t="shared" si="19"/>
        <v>2596.9771123189698</v>
      </c>
      <c r="X24" s="82">
        <f t="shared" si="10"/>
        <v>540.4621523145812</v>
      </c>
      <c r="Y24" s="82">
        <f t="shared" si="20"/>
        <v>3495.9307281216888</v>
      </c>
    </row>
    <row r="25" spans="1:25" x14ac:dyDescent="0.25">
      <c r="A25">
        <v>7</v>
      </c>
      <c r="B25" s="87">
        <f>$C$10/(1+$E$3)^$A$25</f>
        <v>14737.283643098286</v>
      </c>
      <c r="C25" s="87">
        <f t="shared" si="21"/>
        <v>112923.87856339045</v>
      </c>
      <c r="D25" s="87">
        <f t="shared" si="3"/>
        <v>64844.04802963246</v>
      </c>
      <c r="E25" s="87">
        <f t="shared" si="22"/>
        <v>613884.48315464612</v>
      </c>
      <c r="F25" s="87">
        <f t="shared" si="0"/>
        <v>108991.16627704255</v>
      </c>
      <c r="G25" s="87">
        <f t="shared" si="11"/>
        <v>835140.6896422836</v>
      </c>
      <c r="H25" s="87">
        <f t="shared" si="4"/>
        <v>146718.87768063421</v>
      </c>
      <c r="I25" s="87">
        <f t="shared" si="12"/>
        <v>1124227.8514415356</v>
      </c>
      <c r="J25" s="87">
        <f t="shared" si="1"/>
        <v>206367.55810690834</v>
      </c>
      <c r="K25" s="87">
        <f t="shared" si="13"/>
        <v>1581283.6093442163</v>
      </c>
      <c r="L25" s="87">
        <f t="shared" si="5"/>
        <v>277802.48206699197</v>
      </c>
      <c r="M25" s="87">
        <f t="shared" si="14"/>
        <v>2128651.0125787528</v>
      </c>
      <c r="N25" s="563">
        <f t="shared" si="6"/>
        <v>791.78978016012115</v>
      </c>
      <c r="O25" s="563">
        <f t="shared" si="15"/>
        <v>6067.0592456438371</v>
      </c>
      <c r="P25" s="563">
        <f t="shared" si="2"/>
        <v>1499.2015320792821</v>
      </c>
      <c r="Q25" s="563">
        <f t="shared" si="16"/>
        <v>11487.575040998394</v>
      </c>
      <c r="R25" s="82">
        <f t="shared" si="7"/>
        <v>205.8653428416315</v>
      </c>
      <c r="S25" s="82">
        <f t="shared" si="17"/>
        <v>1577.4354038673973</v>
      </c>
      <c r="T25" s="82">
        <f t="shared" si="8"/>
        <v>277.12642305604237</v>
      </c>
      <c r="U25" s="139">
        <f t="shared" si="18"/>
        <v>2123.4707359753424</v>
      </c>
      <c r="V25" s="82">
        <f t="shared" si="9"/>
        <v>389.79239834061337</v>
      </c>
      <c r="W25" s="82">
        <f t="shared" si="19"/>
        <v>2986.7695106595834</v>
      </c>
      <c r="X25" s="82">
        <f t="shared" si="10"/>
        <v>524.72053622774865</v>
      </c>
      <c r="Y25" s="82">
        <f t="shared" si="20"/>
        <v>4020.6512643494375</v>
      </c>
    </row>
    <row r="26" spans="1:25" x14ac:dyDescent="0.25">
      <c r="A26">
        <v>8</v>
      </c>
      <c r="B26" s="87">
        <f>$C$10/(1+$E$3)^$A$26</f>
        <v>14308.042371940086</v>
      </c>
      <c r="C26" s="87">
        <f t="shared" si="21"/>
        <v>127231.92093533053</v>
      </c>
      <c r="D26" s="87">
        <f t="shared" si="3"/>
        <v>62955.386436536377</v>
      </c>
      <c r="E26" s="87">
        <f t="shared" si="22"/>
        <v>676839.86959118245</v>
      </c>
      <c r="F26" s="87">
        <f t="shared" si="0"/>
        <v>105816.66628839083</v>
      </c>
      <c r="G26" s="87">
        <f t="shared" si="11"/>
        <v>940957.35593067447</v>
      </c>
      <c r="H26" s="87">
        <f t="shared" si="4"/>
        <v>142445.51231129537</v>
      </c>
      <c r="I26" s="87">
        <f t="shared" si="12"/>
        <v>1266673.363752831</v>
      </c>
      <c r="J26" s="87">
        <f t="shared" si="1"/>
        <v>200356.85253097897</v>
      </c>
      <c r="K26" s="87">
        <f t="shared" si="13"/>
        <v>1781640.4618751951</v>
      </c>
      <c r="L26" s="87">
        <f t="shared" si="5"/>
        <v>269711.14763785631</v>
      </c>
      <c r="M26" s="87">
        <f t="shared" si="14"/>
        <v>2398362.160216609</v>
      </c>
      <c r="N26" s="563">
        <f t="shared" si="6"/>
        <v>768.72794190303034</v>
      </c>
      <c r="O26" s="563">
        <f t="shared" si="15"/>
        <v>6835.7871875468672</v>
      </c>
      <c r="P26" s="563">
        <f t="shared" si="2"/>
        <v>1455.5354680381381</v>
      </c>
      <c r="Q26" s="563">
        <f t="shared" si="16"/>
        <v>12943.110509036533</v>
      </c>
      <c r="R26" s="82">
        <f t="shared" si="7"/>
        <v>199.8692648947879</v>
      </c>
      <c r="S26" s="82">
        <f t="shared" si="17"/>
        <v>1777.3046687621852</v>
      </c>
      <c r="T26" s="82">
        <f t="shared" si="8"/>
        <v>269.0547796660606</v>
      </c>
      <c r="U26" s="139">
        <f t="shared" si="18"/>
        <v>2392.5255156414032</v>
      </c>
      <c r="V26" s="82">
        <f t="shared" si="9"/>
        <v>378.43922168991594</v>
      </c>
      <c r="W26" s="82">
        <f t="shared" si="19"/>
        <v>3365.2087323494993</v>
      </c>
      <c r="X26" s="82">
        <f t="shared" si="10"/>
        <v>509.43741381334831</v>
      </c>
      <c r="Y26" s="82">
        <f t="shared" si="20"/>
        <v>4530.088678162786</v>
      </c>
    </row>
    <row r="27" spans="1:25" x14ac:dyDescent="0.25">
      <c r="A27">
        <v>9</v>
      </c>
      <c r="B27" s="87">
        <f>$C$10/(1+$E$3)^$A$27</f>
        <v>13891.303273728239</v>
      </c>
      <c r="C27" s="87">
        <f t="shared" si="21"/>
        <v>141123.22420905877</v>
      </c>
      <c r="D27" s="87">
        <f t="shared" si="3"/>
        <v>61121.734404404247</v>
      </c>
      <c r="E27" s="87">
        <f t="shared" si="22"/>
        <v>737961.60399558675</v>
      </c>
      <c r="F27" s="87">
        <f t="shared" si="0"/>
        <v>102734.62746445712</v>
      </c>
      <c r="G27" s="87">
        <f t="shared" si="11"/>
        <v>1043691.9833951315</v>
      </c>
      <c r="H27" s="87">
        <f t="shared" si="4"/>
        <v>138296.61389446151</v>
      </c>
      <c r="I27" s="87">
        <f t="shared" si="12"/>
        <v>1404969.9776472924</v>
      </c>
      <c r="J27" s="87">
        <f t="shared" si="1"/>
        <v>194521.21604949416</v>
      </c>
      <c r="K27" s="87">
        <f t="shared" si="13"/>
        <v>1976161.6779246894</v>
      </c>
      <c r="L27" s="87">
        <f t="shared" si="5"/>
        <v>261855.48314354982</v>
      </c>
      <c r="M27" s="87">
        <f t="shared" si="14"/>
        <v>2660217.6433601589</v>
      </c>
      <c r="N27" s="563">
        <f t="shared" si="6"/>
        <v>746.33780767284497</v>
      </c>
      <c r="O27" s="563">
        <f t="shared" si="15"/>
        <v>7582.1249952197122</v>
      </c>
      <c r="P27" s="563">
        <f t="shared" si="2"/>
        <v>1413.1412311049883</v>
      </c>
      <c r="Q27" s="563">
        <f t="shared" si="16"/>
        <v>14356.251740141521</v>
      </c>
      <c r="R27" s="82">
        <f t="shared" si="7"/>
        <v>194.04782999493969</v>
      </c>
      <c r="S27" s="82">
        <f t="shared" si="17"/>
        <v>1971.352498757125</v>
      </c>
      <c r="T27" s="82">
        <f t="shared" si="8"/>
        <v>261.21823268549571</v>
      </c>
      <c r="U27" s="139">
        <f t="shared" si="18"/>
        <v>2653.7437483268991</v>
      </c>
      <c r="V27" s="82">
        <f t="shared" si="9"/>
        <v>367.41672008729699</v>
      </c>
      <c r="W27" s="82">
        <f t="shared" si="19"/>
        <v>3732.6254524367964</v>
      </c>
      <c r="X27" s="82">
        <f t="shared" si="10"/>
        <v>494.59943088674589</v>
      </c>
      <c r="Y27" s="82">
        <f t="shared" si="20"/>
        <v>5024.6881090495317</v>
      </c>
    </row>
    <row r="28" spans="1:25" x14ac:dyDescent="0.25">
      <c r="A28">
        <v>10</v>
      </c>
      <c r="B28" s="87">
        <f>$C$10/(1+$E$3)^$A$28</f>
        <v>13486.702207503144</v>
      </c>
      <c r="C28" s="87">
        <f t="shared" si="21"/>
        <v>154609.92641656191</v>
      </c>
      <c r="D28" s="87">
        <f t="shared" si="3"/>
        <v>59341.489713013834</v>
      </c>
      <c r="E28" s="87">
        <f t="shared" si="22"/>
        <v>797303.09370860062</v>
      </c>
      <c r="F28" s="87">
        <f t="shared" si="0"/>
        <v>99742.356761608855</v>
      </c>
      <c r="G28" s="87">
        <f t="shared" si="11"/>
        <v>1143434.3401567405</v>
      </c>
      <c r="H28" s="87">
        <f t="shared" si="4"/>
        <v>134268.55717908885</v>
      </c>
      <c r="I28" s="87">
        <f t="shared" si="12"/>
        <v>1539238.5348263814</v>
      </c>
      <c r="J28" s="87">
        <f t="shared" si="1"/>
        <v>188855.54956261569</v>
      </c>
      <c r="K28" s="87">
        <f t="shared" si="13"/>
        <v>2165017.2274873052</v>
      </c>
      <c r="L28" s="87">
        <f t="shared" si="5"/>
        <v>254228.62441121342</v>
      </c>
      <c r="M28" s="87">
        <f t="shared" si="14"/>
        <v>2914446.2677713721</v>
      </c>
      <c r="N28" s="563">
        <f t="shared" si="6"/>
        <v>724.59981327460673</v>
      </c>
      <c r="O28" s="563">
        <f t="shared" si="15"/>
        <v>8306.7248084943185</v>
      </c>
      <c r="P28" s="563">
        <f t="shared" si="2"/>
        <v>1371.9817777718333</v>
      </c>
      <c r="Q28" s="563">
        <f t="shared" si="16"/>
        <v>15728.233517913353</v>
      </c>
      <c r="R28" s="82">
        <f t="shared" si="7"/>
        <v>188.39595145139776</v>
      </c>
      <c r="S28" s="82">
        <f t="shared" si="17"/>
        <v>2159.7484502085226</v>
      </c>
      <c r="T28" s="82">
        <f t="shared" si="8"/>
        <v>253.60993464611235</v>
      </c>
      <c r="U28" s="139">
        <f t="shared" si="18"/>
        <v>2907.3536829730115</v>
      </c>
      <c r="V28" s="82">
        <f t="shared" si="9"/>
        <v>356.71526222067672</v>
      </c>
      <c r="W28" s="82">
        <f t="shared" si="19"/>
        <v>4089.3407146574732</v>
      </c>
      <c r="X28" s="82">
        <f t="shared" si="10"/>
        <v>480.19362222014166</v>
      </c>
      <c r="Y28" s="82">
        <f t="shared" si="20"/>
        <v>5504.8817312696738</v>
      </c>
    </row>
    <row r="29" spans="1:25" x14ac:dyDescent="0.25">
      <c r="R29" s="564"/>
      <c r="S29" s="564"/>
      <c r="T29" s="564"/>
    </row>
    <row r="30" spans="1:25" s="67" customFormat="1" ht="18.75" x14ac:dyDescent="0.3">
      <c r="A30" s="67" t="str">
        <f>Summary!B12</f>
        <v>Dental Sealants</v>
      </c>
      <c r="B30" s="942" t="s">
        <v>150</v>
      </c>
      <c r="C30" s="942"/>
      <c r="D30" s="942"/>
      <c r="E30" s="942"/>
      <c r="F30" s="962" t="s">
        <v>152</v>
      </c>
      <c r="G30" s="962"/>
      <c r="H30" s="962"/>
      <c r="I30" s="962"/>
      <c r="J30" s="962"/>
      <c r="K30" s="962"/>
      <c r="L30" s="962"/>
      <c r="M30" s="962"/>
      <c r="N30" s="972" t="s">
        <v>406</v>
      </c>
      <c r="O30" s="972"/>
      <c r="P30" s="972"/>
      <c r="Q30" s="972"/>
      <c r="R30" s="971" t="s">
        <v>151</v>
      </c>
      <c r="S30" s="971"/>
      <c r="T30" s="971"/>
      <c r="U30" s="971"/>
      <c r="V30" s="971"/>
      <c r="W30" s="971"/>
      <c r="X30" s="971"/>
      <c r="Y30" s="565"/>
    </row>
    <row r="31" spans="1:25" x14ac:dyDescent="0.25">
      <c r="A31" s="550" t="s">
        <v>58</v>
      </c>
      <c r="B31" t="s">
        <v>57</v>
      </c>
      <c r="C31" t="s">
        <v>61</v>
      </c>
      <c r="D31" t="s">
        <v>59</v>
      </c>
      <c r="E31" t="s">
        <v>61</v>
      </c>
      <c r="F31" t="s">
        <v>410</v>
      </c>
      <c r="G31" t="s">
        <v>61</v>
      </c>
      <c r="H31" t="s">
        <v>409</v>
      </c>
      <c r="I31" t="s">
        <v>61</v>
      </c>
      <c r="J31" t="s">
        <v>411</v>
      </c>
      <c r="K31" t="s">
        <v>61</v>
      </c>
      <c r="L31" t="s">
        <v>412</v>
      </c>
      <c r="M31" t="s">
        <v>61</v>
      </c>
      <c r="N31" t="s">
        <v>65</v>
      </c>
      <c r="O31" t="s">
        <v>61</v>
      </c>
      <c r="P31" t="s">
        <v>66</v>
      </c>
      <c r="Q31" t="s">
        <v>61</v>
      </c>
      <c r="R31" s="82" t="s">
        <v>413</v>
      </c>
      <c r="S31" s="82" t="s">
        <v>61</v>
      </c>
      <c r="T31" s="82" t="s">
        <v>414</v>
      </c>
      <c r="U31" s="82" t="s">
        <v>89</v>
      </c>
      <c r="V31" t="s">
        <v>415</v>
      </c>
      <c r="W31" t="s">
        <v>89</v>
      </c>
      <c r="X31" t="s">
        <v>416</v>
      </c>
      <c r="Y31" t="s">
        <v>61</v>
      </c>
    </row>
    <row r="32" spans="1:25" x14ac:dyDescent="0.25">
      <c r="A32">
        <v>1</v>
      </c>
      <c r="B32" s="137">
        <f>B11/(1+$E$3)^$A$32</f>
        <v>12058.252427184465</v>
      </c>
      <c r="C32" s="85">
        <f>B32</f>
        <v>12058.252427184465</v>
      </c>
      <c r="D32" s="137">
        <f>D11/(1+$E$3)^$A$32</f>
        <v>220328.38834951454</v>
      </c>
      <c r="E32" s="85">
        <f>D32</f>
        <v>220328.38834951454</v>
      </c>
      <c r="F32" s="87">
        <f t="shared" ref="F32:F41" si="23">$F$11/(1+$E$3)^A32</f>
        <v>38254.623747651931</v>
      </c>
      <c r="G32" s="87">
        <f>F32</f>
        <v>38254.623747651931</v>
      </c>
      <c r="H32" s="87">
        <f>$H$11/(1+$E$3)^A32</f>
        <v>42026.206370659878</v>
      </c>
      <c r="I32" s="87">
        <f>H32</f>
        <v>42026.206370659878</v>
      </c>
      <c r="J32" s="87">
        <f t="shared" ref="J32:J41" si="24">$J$11/(1+$E$3)^A32</f>
        <v>394022.62460081489</v>
      </c>
      <c r="K32" s="87">
        <f>J32</f>
        <v>394022.62460081489</v>
      </c>
      <c r="L32" s="87">
        <f>$L$11/(1+$E$3)^A32</f>
        <v>432869.92561779678</v>
      </c>
      <c r="M32" s="87">
        <f>L32</f>
        <v>432869.92561779678</v>
      </c>
      <c r="N32" s="563">
        <f>$N$11/(1+$E$3)^A32</f>
        <v>254.42368282249313</v>
      </c>
      <c r="O32" s="563">
        <f>N32</f>
        <v>254.42368282249313</v>
      </c>
      <c r="P32" s="563">
        <f>$P$11/(1+$E$3)^A32</f>
        <v>2620.5639330716795</v>
      </c>
      <c r="Q32" s="563">
        <f>P32</f>
        <v>2620.5639330716795</v>
      </c>
      <c r="R32" s="82">
        <f>$R$11/(1+$E$3)^A32</f>
        <v>72.256325921588044</v>
      </c>
      <c r="S32" s="82">
        <f>R32</f>
        <v>72.256325921588044</v>
      </c>
      <c r="T32" s="82">
        <f>$T$11/(1+$E$3)^A32</f>
        <v>79.380189040617864</v>
      </c>
      <c r="U32" s="82">
        <f>T32</f>
        <v>79.380189040617864</v>
      </c>
      <c r="V32" s="82">
        <f>$V$11/(1+$E$3)^A32</f>
        <v>744.2401569923569</v>
      </c>
      <c r="W32" s="82">
        <f>V32</f>
        <v>744.2401569923569</v>
      </c>
      <c r="X32" s="82">
        <f>$X$11/(1+$E$3)^A32</f>
        <v>817.61594711836415</v>
      </c>
      <c r="Y32" s="82">
        <f>X32</f>
        <v>817.61594711836415</v>
      </c>
    </row>
    <row r="33" spans="1:25" x14ac:dyDescent="0.25">
      <c r="A33">
        <v>2</v>
      </c>
      <c r="B33" s="87">
        <f t="shared" ref="B33:B41" si="25">$B$11/(1+$E$3)^A33</f>
        <v>11707.041191441229</v>
      </c>
      <c r="C33" s="87">
        <f>C32+B33</f>
        <v>23765.293618625692</v>
      </c>
      <c r="D33" s="87">
        <f t="shared" ref="D33:D41" si="26">$D$11/(1+$E$3)^A33</f>
        <v>213911.05665001413</v>
      </c>
      <c r="E33" s="87">
        <f>E32+D33</f>
        <v>434239.4449995287</v>
      </c>
      <c r="F33" s="87">
        <f t="shared" si="23"/>
        <v>37140.411405487313</v>
      </c>
      <c r="G33" s="87">
        <f>G32+F33</f>
        <v>75395.035153139237</v>
      </c>
      <c r="H33" s="87">
        <f t="shared" ref="H33:H41" si="27">$H$11/(1+$E$3)^A33</f>
        <v>40802.142107436775</v>
      </c>
      <c r="I33" s="87">
        <f>I32+H33</f>
        <v>82828.348478096654</v>
      </c>
      <c r="J33" s="87">
        <f t="shared" si="24"/>
        <v>382546.23747651931</v>
      </c>
      <c r="K33" s="87">
        <f>K32+J33</f>
        <v>776568.8620773342</v>
      </c>
      <c r="L33" s="87">
        <f t="shared" ref="L33:L41" si="28">$L$11/(1+$E$3)^A33</f>
        <v>420262.06370659883</v>
      </c>
      <c r="M33" s="87">
        <f>M32+L33</f>
        <v>853131.98932439554</v>
      </c>
      <c r="N33" s="563">
        <f t="shared" ref="N33:N41" si="29">$N$11/(1+$E$3)^A33</f>
        <v>247.01328429368266</v>
      </c>
      <c r="O33" s="563">
        <f>O32+N33</f>
        <v>501.43696711617577</v>
      </c>
      <c r="P33" s="563">
        <f t="shared" ref="P33:P41" si="30">$P$11/(1+$E$3)^A33</f>
        <v>2544.2368282249317</v>
      </c>
      <c r="Q33" s="563">
        <f>Q32+P33</f>
        <v>5164.8007612966112</v>
      </c>
      <c r="R33" s="82">
        <f t="shared" ref="R33:R41" si="31">$R$11/(1+$E$3)^A33</f>
        <v>70.151772739405871</v>
      </c>
      <c r="S33" s="82">
        <f>S32+R33</f>
        <v>142.40809866099391</v>
      </c>
      <c r="T33" s="82">
        <f t="shared" ref="T33:T41" si="32">$T$11/(1+$E$3)^A33</f>
        <v>77.068144699629002</v>
      </c>
      <c r="U33" s="82">
        <f>U32+T33</f>
        <v>156.44833374024688</v>
      </c>
      <c r="V33" s="82">
        <f t="shared" ref="V33:V41" si="33">$V$11/(1+$E$3)^A33</f>
        <v>722.56325921588052</v>
      </c>
      <c r="W33" s="82">
        <f>W32+V33</f>
        <v>1466.8034162082374</v>
      </c>
      <c r="X33" s="82">
        <f t="shared" ref="X33:X41" si="34">$X$11/(1+$E$3)^A33</f>
        <v>793.80189040617881</v>
      </c>
      <c r="Y33" s="82">
        <f>Y32+X33</f>
        <v>1611.4178375245428</v>
      </c>
    </row>
    <row r="34" spans="1:25" x14ac:dyDescent="0.25">
      <c r="A34">
        <v>3</v>
      </c>
      <c r="B34" s="87">
        <f t="shared" si="25"/>
        <v>11366.059409166242</v>
      </c>
      <c r="C34" s="87">
        <f t="shared" ref="C34:C41" si="35">C33+B34</f>
        <v>35131.353027791934</v>
      </c>
      <c r="D34" s="87">
        <f t="shared" si="26"/>
        <v>207680.63752428556</v>
      </c>
      <c r="E34" s="87">
        <f t="shared" ref="E34:E41" si="36">E33+D34</f>
        <v>641920.08252381429</v>
      </c>
      <c r="F34" s="87">
        <f t="shared" si="23"/>
        <v>36058.651849987684</v>
      </c>
      <c r="G34" s="87">
        <f t="shared" ref="G34:G41" si="37">G33+F34</f>
        <v>111453.68700312692</v>
      </c>
      <c r="H34" s="87">
        <f t="shared" si="27"/>
        <v>39613.73020139493</v>
      </c>
      <c r="I34" s="87">
        <f t="shared" ref="I34:I41" si="38">I33+H34</f>
        <v>122442.07867949159</v>
      </c>
      <c r="J34" s="87">
        <f t="shared" si="24"/>
        <v>371404.11405487312</v>
      </c>
      <c r="K34" s="87">
        <f t="shared" ref="K34:K41" si="39">K33+J34</f>
        <v>1147972.9761322073</v>
      </c>
      <c r="L34" s="87">
        <f t="shared" si="28"/>
        <v>408021.42107436777</v>
      </c>
      <c r="M34" s="87">
        <f t="shared" ref="M34:M41" si="40">M33+L34</f>
        <v>1261153.4103987634</v>
      </c>
      <c r="N34" s="563">
        <f t="shared" si="29"/>
        <v>239.81872261522588</v>
      </c>
      <c r="O34" s="563">
        <f t="shared" ref="O34:O41" si="41">O33+N34</f>
        <v>741.25568973140162</v>
      </c>
      <c r="P34" s="563">
        <f t="shared" si="30"/>
        <v>2470.1328429368268</v>
      </c>
      <c r="Q34" s="563">
        <f t="shared" ref="Q34:Q41" si="42">Q33+P34</f>
        <v>7634.933604233438</v>
      </c>
      <c r="R34" s="82">
        <f t="shared" si="31"/>
        <v>68.108517222724146</v>
      </c>
      <c r="S34" s="82">
        <f t="shared" ref="S34:S41" si="43">S33+R34</f>
        <v>210.51661588371806</v>
      </c>
      <c r="T34" s="82">
        <f t="shared" si="32"/>
        <v>74.823441455950487</v>
      </c>
      <c r="U34" s="82">
        <f t="shared" ref="U34:U41" si="44">U33+T34</f>
        <v>231.27177519619738</v>
      </c>
      <c r="V34" s="82">
        <f t="shared" si="33"/>
        <v>701.51772739405874</v>
      </c>
      <c r="W34" s="82">
        <f t="shared" ref="W34:W41" si="45">W33+V34</f>
        <v>2168.3211436022962</v>
      </c>
      <c r="X34" s="82">
        <f t="shared" si="34"/>
        <v>770.68144699629011</v>
      </c>
      <c r="Y34" s="82">
        <f t="shared" ref="Y34:Y41" si="46">Y33+X34</f>
        <v>2382.099284520833</v>
      </c>
    </row>
    <row r="35" spans="1:25" x14ac:dyDescent="0.25">
      <c r="A35">
        <v>4</v>
      </c>
      <c r="B35" s="87">
        <f t="shared" si="25"/>
        <v>11035.009135112858</v>
      </c>
      <c r="C35" s="87">
        <f t="shared" si="35"/>
        <v>46166.362162904792</v>
      </c>
      <c r="D35" s="87">
        <f t="shared" si="26"/>
        <v>201631.68691678211</v>
      </c>
      <c r="E35" s="87">
        <f t="shared" si="36"/>
        <v>843551.76944059646</v>
      </c>
      <c r="F35" s="87">
        <f t="shared" si="23"/>
        <v>35008.399854356976</v>
      </c>
      <c r="G35" s="87">
        <f t="shared" si="37"/>
        <v>146462.0868574839</v>
      </c>
      <c r="H35" s="87">
        <f t="shared" si="27"/>
        <v>38459.932234364009</v>
      </c>
      <c r="I35" s="87">
        <f t="shared" si="38"/>
        <v>160902.0109138556</v>
      </c>
      <c r="J35" s="87">
        <f t="shared" si="24"/>
        <v>360586.51849987684</v>
      </c>
      <c r="K35" s="87">
        <f t="shared" si="39"/>
        <v>1508559.4946320842</v>
      </c>
      <c r="L35" s="87">
        <f t="shared" si="28"/>
        <v>396137.30201394932</v>
      </c>
      <c r="M35" s="87">
        <f t="shared" si="40"/>
        <v>1657290.7124127126</v>
      </c>
      <c r="N35" s="563">
        <f t="shared" si="29"/>
        <v>232.83371127691834</v>
      </c>
      <c r="O35" s="563">
        <f t="shared" si="41"/>
        <v>974.08940100832001</v>
      </c>
      <c r="P35" s="563">
        <f t="shared" si="30"/>
        <v>2398.187226152259</v>
      </c>
      <c r="Q35" s="563">
        <f t="shared" si="42"/>
        <v>10033.120830385697</v>
      </c>
      <c r="R35" s="82">
        <f t="shared" si="31"/>
        <v>66.124774002644799</v>
      </c>
      <c r="S35" s="82">
        <f t="shared" si="43"/>
        <v>276.64138988636284</v>
      </c>
      <c r="T35" s="82">
        <f t="shared" si="32"/>
        <v>72.644117918398535</v>
      </c>
      <c r="U35" s="82">
        <f t="shared" si="44"/>
        <v>303.91589311459592</v>
      </c>
      <c r="V35" s="82">
        <f t="shared" si="33"/>
        <v>681.08517222724151</v>
      </c>
      <c r="W35" s="82">
        <f t="shared" si="45"/>
        <v>2849.4063158295376</v>
      </c>
      <c r="X35" s="82">
        <f t="shared" si="34"/>
        <v>748.23441455950501</v>
      </c>
      <c r="Y35" s="82">
        <f t="shared" si="46"/>
        <v>3130.3336990803382</v>
      </c>
    </row>
    <row r="36" spans="1:25" x14ac:dyDescent="0.25">
      <c r="A36">
        <v>5</v>
      </c>
      <c r="B36" s="87">
        <f t="shared" si="25"/>
        <v>10713.601102051318</v>
      </c>
      <c r="C36" s="87">
        <f t="shared" si="35"/>
        <v>56879.96326495611</v>
      </c>
      <c r="D36" s="87">
        <f t="shared" si="26"/>
        <v>195758.91933668169</v>
      </c>
      <c r="E36" s="87">
        <f t="shared" si="36"/>
        <v>1039310.6887772782</v>
      </c>
      <c r="F36" s="87">
        <f t="shared" si="23"/>
        <v>33988.737722676677</v>
      </c>
      <c r="G36" s="87">
        <f t="shared" si="37"/>
        <v>180450.82458016058</v>
      </c>
      <c r="H36" s="87">
        <f t="shared" si="27"/>
        <v>37339.740033363123</v>
      </c>
      <c r="I36" s="87">
        <f t="shared" si="38"/>
        <v>198241.75094721874</v>
      </c>
      <c r="J36" s="87">
        <f t="shared" si="24"/>
        <v>350083.99854356976</v>
      </c>
      <c r="K36" s="87">
        <f t="shared" si="39"/>
        <v>1858643.493175654</v>
      </c>
      <c r="L36" s="87">
        <f t="shared" si="28"/>
        <v>384599.32234364015</v>
      </c>
      <c r="M36" s="87">
        <f t="shared" si="40"/>
        <v>2041890.0347563527</v>
      </c>
      <c r="N36" s="563">
        <f t="shared" si="29"/>
        <v>226.05214687079453</v>
      </c>
      <c r="O36" s="563">
        <f t="shared" si="41"/>
        <v>1200.1415478791146</v>
      </c>
      <c r="P36" s="563">
        <f t="shared" si="30"/>
        <v>2328.3371127691835</v>
      </c>
      <c r="Q36" s="563">
        <f t="shared" si="42"/>
        <v>12361.457943154881</v>
      </c>
      <c r="R36" s="82">
        <f t="shared" si="31"/>
        <v>64.198809711305643</v>
      </c>
      <c r="S36" s="82">
        <f t="shared" si="43"/>
        <v>340.84019959766852</v>
      </c>
      <c r="T36" s="82">
        <f t="shared" si="32"/>
        <v>70.528269823687907</v>
      </c>
      <c r="U36" s="82">
        <f t="shared" si="44"/>
        <v>374.44416293828385</v>
      </c>
      <c r="V36" s="82">
        <f t="shared" si="33"/>
        <v>661.24774002644813</v>
      </c>
      <c r="W36" s="82">
        <f t="shared" si="45"/>
        <v>3510.6540558559855</v>
      </c>
      <c r="X36" s="82">
        <f t="shared" si="34"/>
        <v>726.44117918398547</v>
      </c>
      <c r="Y36" s="82">
        <f t="shared" si="46"/>
        <v>3856.7748782643239</v>
      </c>
    </row>
    <row r="37" spans="1:25" x14ac:dyDescent="0.25">
      <c r="A37">
        <v>6</v>
      </c>
      <c r="B37" s="87">
        <f t="shared" si="25"/>
        <v>10401.554468010987</v>
      </c>
      <c r="C37" s="87">
        <f t="shared" si="35"/>
        <v>67281.517732967099</v>
      </c>
      <c r="D37" s="87">
        <f t="shared" si="26"/>
        <v>190057.20323949677</v>
      </c>
      <c r="E37" s="87">
        <f t="shared" si="36"/>
        <v>1229367.892016775</v>
      </c>
      <c r="F37" s="87">
        <f t="shared" si="23"/>
        <v>32998.774488035604</v>
      </c>
      <c r="G37" s="87">
        <f t="shared" si="37"/>
        <v>213449.5990681962</v>
      </c>
      <c r="H37" s="87">
        <f t="shared" si="27"/>
        <v>36252.174789672928</v>
      </c>
      <c r="I37" s="87">
        <f t="shared" si="38"/>
        <v>234493.92573689166</v>
      </c>
      <c r="J37" s="87">
        <f t="shared" si="24"/>
        <v>339887.37722676672</v>
      </c>
      <c r="K37" s="87">
        <f t="shared" si="39"/>
        <v>2198530.8704024209</v>
      </c>
      <c r="L37" s="87">
        <f t="shared" si="28"/>
        <v>373397.4003336312</v>
      </c>
      <c r="M37" s="87">
        <f t="shared" si="40"/>
        <v>2415287.435089984</v>
      </c>
      <c r="N37" s="563">
        <f t="shared" si="29"/>
        <v>219.46810375805291</v>
      </c>
      <c r="O37" s="563">
        <f t="shared" si="41"/>
        <v>1419.6096516371674</v>
      </c>
      <c r="P37" s="563">
        <f t="shared" si="30"/>
        <v>2260.5214687079451</v>
      </c>
      <c r="Q37" s="563">
        <f t="shared" si="42"/>
        <v>14621.979411862827</v>
      </c>
      <c r="R37" s="82">
        <f t="shared" si="31"/>
        <v>62.328941467287024</v>
      </c>
      <c r="S37" s="82">
        <f t="shared" si="43"/>
        <v>403.16914106495551</v>
      </c>
      <c r="T37" s="82">
        <f t="shared" si="32"/>
        <v>68.474048372512527</v>
      </c>
      <c r="U37" s="82">
        <f t="shared" si="44"/>
        <v>442.91821131079638</v>
      </c>
      <c r="V37" s="82">
        <f t="shared" si="33"/>
        <v>641.98809711305637</v>
      </c>
      <c r="W37" s="82">
        <f t="shared" si="45"/>
        <v>4152.6421529690415</v>
      </c>
      <c r="X37" s="82">
        <f t="shared" si="34"/>
        <v>705.28269823687901</v>
      </c>
      <c r="Y37" s="82">
        <f t="shared" si="46"/>
        <v>4562.0575765012027</v>
      </c>
    </row>
    <row r="38" spans="1:25" x14ac:dyDescent="0.25">
      <c r="A38">
        <v>7</v>
      </c>
      <c r="B38" s="87">
        <f t="shared" si="25"/>
        <v>10098.596570884454</v>
      </c>
      <c r="C38" s="87">
        <f t="shared" si="35"/>
        <v>77380.114303851558</v>
      </c>
      <c r="D38" s="87">
        <f t="shared" si="26"/>
        <v>184521.55654320074</v>
      </c>
      <c r="E38" s="87">
        <f t="shared" si="36"/>
        <v>1413889.4485599757</v>
      </c>
      <c r="F38" s="87">
        <f t="shared" si="23"/>
        <v>32037.645134015151</v>
      </c>
      <c r="G38" s="87">
        <f t="shared" si="37"/>
        <v>245487.24420221135</v>
      </c>
      <c r="H38" s="87">
        <f t="shared" si="27"/>
        <v>35196.286203565949</v>
      </c>
      <c r="I38" s="87">
        <f t="shared" si="38"/>
        <v>269690.21194045758</v>
      </c>
      <c r="J38" s="87">
        <f t="shared" si="24"/>
        <v>329987.74488035601</v>
      </c>
      <c r="K38" s="87">
        <f t="shared" si="39"/>
        <v>2528518.6152827768</v>
      </c>
      <c r="L38" s="87">
        <f t="shared" si="28"/>
        <v>362521.74789672933</v>
      </c>
      <c r="M38" s="87">
        <f t="shared" si="40"/>
        <v>2777809.1829867135</v>
      </c>
      <c r="N38" s="563">
        <f t="shared" si="29"/>
        <v>213.07582889131351</v>
      </c>
      <c r="O38" s="563">
        <f t="shared" si="41"/>
        <v>1632.6854805284809</v>
      </c>
      <c r="P38" s="563">
        <f t="shared" si="30"/>
        <v>2194.6810375805294</v>
      </c>
      <c r="Q38" s="563">
        <f t="shared" si="42"/>
        <v>16816.660449443356</v>
      </c>
      <c r="R38" s="82">
        <f t="shared" si="31"/>
        <v>60.513535405133027</v>
      </c>
      <c r="S38" s="82">
        <f t="shared" si="43"/>
        <v>463.68267647008855</v>
      </c>
      <c r="T38" s="82">
        <f t="shared" si="32"/>
        <v>66.479658614089828</v>
      </c>
      <c r="U38" s="82">
        <f t="shared" si="44"/>
        <v>509.39786992488621</v>
      </c>
      <c r="V38" s="82">
        <f t="shared" si="33"/>
        <v>623.28941467287029</v>
      </c>
      <c r="W38" s="82">
        <f t="shared" si="45"/>
        <v>4775.9315676419119</v>
      </c>
      <c r="X38" s="82">
        <f t="shared" si="34"/>
        <v>684.74048372512527</v>
      </c>
      <c r="Y38" s="82">
        <f t="shared" si="46"/>
        <v>5246.7980602263278</v>
      </c>
    </row>
    <row r="39" spans="1:25" x14ac:dyDescent="0.25">
      <c r="A39">
        <v>8</v>
      </c>
      <c r="B39" s="87">
        <f t="shared" si="25"/>
        <v>9804.4626901790816</v>
      </c>
      <c r="C39" s="87">
        <f t="shared" si="35"/>
        <v>87184.576994030635</v>
      </c>
      <c r="D39" s="87">
        <f t="shared" si="26"/>
        <v>179147.14227495217</v>
      </c>
      <c r="E39" s="87">
        <f t="shared" si="36"/>
        <v>1593036.590834928</v>
      </c>
      <c r="F39" s="87">
        <f t="shared" si="23"/>
        <v>31104.509838849663</v>
      </c>
      <c r="G39" s="87">
        <f t="shared" si="37"/>
        <v>276591.75404106104</v>
      </c>
      <c r="H39" s="87">
        <f t="shared" si="27"/>
        <v>34171.151653947527</v>
      </c>
      <c r="I39" s="87">
        <f t="shared" si="38"/>
        <v>303861.36359440512</v>
      </c>
      <c r="J39" s="87">
        <f t="shared" si="24"/>
        <v>320376.45134015154</v>
      </c>
      <c r="K39" s="87">
        <f t="shared" si="39"/>
        <v>2848895.0666229283</v>
      </c>
      <c r="L39" s="87">
        <f t="shared" si="28"/>
        <v>351962.86203565955</v>
      </c>
      <c r="M39" s="87">
        <f t="shared" si="40"/>
        <v>3129772.0450223731</v>
      </c>
      <c r="N39" s="563">
        <f t="shared" si="29"/>
        <v>206.86973678768302</v>
      </c>
      <c r="O39" s="563">
        <f t="shared" si="41"/>
        <v>1839.5552173161639</v>
      </c>
      <c r="P39" s="563">
        <f t="shared" si="30"/>
        <v>2130.7582889131354</v>
      </c>
      <c r="Q39" s="563">
        <f t="shared" si="42"/>
        <v>18947.418738356493</v>
      </c>
      <c r="R39" s="82">
        <f t="shared" si="31"/>
        <v>58.751005247701976</v>
      </c>
      <c r="S39" s="82">
        <f t="shared" si="43"/>
        <v>522.43368171779048</v>
      </c>
      <c r="T39" s="82">
        <f t="shared" si="32"/>
        <v>64.543357877757117</v>
      </c>
      <c r="U39" s="82">
        <f t="shared" si="44"/>
        <v>573.94122780264331</v>
      </c>
      <c r="V39" s="82">
        <f t="shared" si="33"/>
        <v>605.13535405133041</v>
      </c>
      <c r="W39" s="82">
        <f t="shared" si="45"/>
        <v>5381.066921693242</v>
      </c>
      <c r="X39" s="82">
        <f t="shared" si="34"/>
        <v>664.7965861408984</v>
      </c>
      <c r="Y39" s="82">
        <f t="shared" si="46"/>
        <v>5911.5946463672262</v>
      </c>
    </row>
    <row r="40" spans="1:25" x14ac:dyDescent="0.25">
      <c r="A40">
        <v>9</v>
      </c>
      <c r="B40" s="87">
        <f t="shared" si="25"/>
        <v>9518.8958157078469</v>
      </c>
      <c r="C40" s="87">
        <f t="shared" si="35"/>
        <v>96703.47280973848</v>
      </c>
      <c r="D40" s="87">
        <f t="shared" si="26"/>
        <v>173929.26434461377</v>
      </c>
      <c r="E40" s="87">
        <f t="shared" si="36"/>
        <v>1766965.8551795417</v>
      </c>
      <c r="F40" s="87">
        <f t="shared" si="23"/>
        <v>30198.553241601614</v>
      </c>
      <c r="G40" s="87">
        <f t="shared" si="37"/>
        <v>306790.30728266266</v>
      </c>
      <c r="H40" s="87">
        <f t="shared" si="27"/>
        <v>33175.875392182068</v>
      </c>
      <c r="I40" s="87">
        <f t="shared" si="38"/>
        <v>337037.23898658721</v>
      </c>
      <c r="J40" s="87">
        <f t="shared" si="24"/>
        <v>311045.09838849661</v>
      </c>
      <c r="K40" s="87">
        <f t="shared" si="39"/>
        <v>3159940.165011425</v>
      </c>
      <c r="L40" s="87">
        <f t="shared" si="28"/>
        <v>341711.5165394753</v>
      </c>
      <c r="M40" s="87">
        <f t="shared" si="40"/>
        <v>3471483.5615618485</v>
      </c>
      <c r="N40" s="563">
        <f t="shared" si="29"/>
        <v>200.84440464823595</v>
      </c>
      <c r="O40" s="563">
        <f t="shared" si="41"/>
        <v>2040.3996219643998</v>
      </c>
      <c r="P40" s="563">
        <f t="shared" si="30"/>
        <v>2068.6973678768304</v>
      </c>
      <c r="Q40" s="563">
        <f t="shared" si="42"/>
        <v>21016.116106233323</v>
      </c>
      <c r="R40" s="82">
        <f t="shared" si="31"/>
        <v>57.039810920099001</v>
      </c>
      <c r="S40" s="82">
        <f t="shared" si="43"/>
        <v>579.47349263788942</v>
      </c>
      <c r="T40" s="82">
        <f t="shared" si="32"/>
        <v>62.663454250249629</v>
      </c>
      <c r="U40" s="82">
        <f t="shared" si="44"/>
        <v>636.60468205289294</v>
      </c>
      <c r="V40" s="82">
        <f t="shared" si="33"/>
        <v>587.51005247701983</v>
      </c>
      <c r="W40" s="82">
        <f t="shared" si="45"/>
        <v>5968.5769741702616</v>
      </c>
      <c r="X40" s="82">
        <f t="shared" si="34"/>
        <v>645.43357877757126</v>
      </c>
      <c r="Y40" s="82">
        <f t="shared" si="46"/>
        <v>6557.028225144797</v>
      </c>
    </row>
    <row r="41" spans="1:25" x14ac:dyDescent="0.25">
      <c r="A41">
        <v>10</v>
      </c>
      <c r="B41" s="87">
        <f t="shared" si="25"/>
        <v>9241.646423017326</v>
      </c>
      <c r="C41" s="87">
        <f t="shared" si="35"/>
        <v>105945.11923275581</v>
      </c>
      <c r="D41" s="87">
        <f t="shared" si="26"/>
        <v>168863.36344137258</v>
      </c>
      <c r="E41" s="87">
        <f t="shared" si="36"/>
        <v>1935829.2186209143</v>
      </c>
      <c r="F41" s="87">
        <f t="shared" si="23"/>
        <v>29318.983729710304</v>
      </c>
      <c r="G41" s="87">
        <f t="shared" si="37"/>
        <v>336109.29101237294</v>
      </c>
      <c r="H41" s="87">
        <f t="shared" si="27"/>
        <v>32209.587759400063</v>
      </c>
      <c r="I41" s="87">
        <f t="shared" si="38"/>
        <v>369246.82674598729</v>
      </c>
      <c r="J41" s="87">
        <f t="shared" si="24"/>
        <v>301985.53241601615</v>
      </c>
      <c r="K41" s="87">
        <f t="shared" si="39"/>
        <v>3461925.6974274414</v>
      </c>
      <c r="L41" s="87">
        <f t="shared" si="28"/>
        <v>331758.75392182067</v>
      </c>
      <c r="M41" s="87">
        <f t="shared" si="40"/>
        <v>3803242.3154836693</v>
      </c>
      <c r="N41" s="563">
        <f t="shared" si="29"/>
        <v>194.99456761964655</v>
      </c>
      <c r="O41" s="563">
        <f t="shared" si="41"/>
        <v>2235.3941895840462</v>
      </c>
      <c r="P41" s="563">
        <f t="shared" si="30"/>
        <v>2008.4440464823597</v>
      </c>
      <c r="Q41" s="563">
        <f t="shared" si="42"/>
        <v>23024.560152715683</v>
      </c>
      <c r="R41" s="82">
        <f t="shared" si="31"/>
        <v>55.378457203979615</v>
      </c>
      <c r="S41" s="82">
        <f t="shared" si="43"/>
        <v>634.85194984186899</v>
      </c>
      <c r="T41" s="82">
        <f t="shared" si="32"/>
        <v>60.838305097329737</v>
      </c>
      <c r="U41" s="82">
        <f t="shared" si="44"/>
        <v>697.44298715022273</v>
      </c>
      <c r="V41" s="82">
        <f t="shared" si="33"/>
        <v>570.39810920099012</v>
      </c>
      <c r="W41" s="82">
        <f t="shared" si="45"/>
        <v>6538.9750833712515</v>
      </c>
      <c r="X41" s="82">
        <f t="shared" si="34"/>
        <v>626.6345425024964</v>
      </c>
      <c r="Y41" s="82">
        <f t="shared" si="46"/>
        <v>7183.6627676472935</v>
      </c>
    </row>
    <row r="42" spans="1:25" x14ac:dyDescent="0.25">
      <c r="D42" s="85"/>
    </row>
    <row r="43" spans="1:25" s="67" customFormat="1" ht="18.75" x14ac:dyDescent="0.3">
      <c r="A43" s="67" t="str">
        <f>Summary!B13</f>
        <v>Fluoride Varnish</v>
      </c>
      <c r="B43" s="942" t="s">
        <v>150</v>
      </c>
      <c r="C43" s="942"/>
      <c r="D43" s="942"/>
      <c r="E43" s="942"/>
      <c r="F43" s="962" t="s">
        <v>152</v>
      </c>
      <c r="G43" s="962"/>
      <c r="H43" s="962"/>
      <c r="I43" s="962"/>
      <c r="J43" s="962"/>
      <c r="K43" s="962"/>
      <c r="L43" s="962"/>
      <c r="M43" s="962"/>
      <c r="N43" s="972" t="s">
        <v>407</v>
      </c>
      <c r="O43" s="972"/>
      <c r="P43" s="972"/>
      <c r="Q43" s="972"/>
      <c r="R43" s="971" t="s">
        <v>151</v>
      </c>
      <c r="S43" s="971"/>
      <c r="T43" s="971"/>
      <c r="U43" s="971"/>
      <c r="V43" s="971"/>
      <c r="W43" s="971"/>
      <c r="X43" s="971"/>
      <c r="Y43" s="565"/>
    </row>
    <row r="44" spans="1:25" x14ac:dyDescent="0.25">
      <c r="A44" s="550" t="s">
        <v>58</v>
      </c>
      <c r="B44" t="s">
        <v>57</v>
      </c>
      <c r="C44" t="s">
        <v>61</v>
      </c>
      <c r="D44" t="s">
        <v>59</v>
      </c>
      <c r="E44" t="s">
        <v>61</v>
      </c>
      <c r="F44" t="s">
        <v>410</v>
      </c>
      <c r="G44" t="s">
        <v>61</v>
      </c>
      <c r="H44" t="s">
        <v>409</v>
      </c>
      <c r="I44" t="s">
        <v>61</v>
      </c>
      <c r="J44" t="s">
        <v>411</v>
      </c>
      <c r="K44" t="s">
        <v>61</v>
      </c>
      <c r="L44" t="s">
        <v>412</v>
      </c>
      <c r="M44" t="s">
        <v>61</v>
      </c>
      <c r="N44" t="s">
        <v>65</v>
      </c>
      <c r="O44" t="s">
        <v>61</v>
      </c>
      <c r="P44" t="s">
        <v>408</v>
      </c>
      <c r="Q44" t="s">
        <v>61</v>
      </c>
      <c r="R44" s="82" t="s">
        <v>413</v>
      </c>
      <c r="S44" s="82" t="s">
        <v>61</v>
      </c>
      <c r="T44" s="82" t="s">
        <v>414</v>
      </c>
      <c r="U44" s="82" t="s">
        <v>89</v>
      </c>
      <c r="V44" t="s">
        <v>415</v>
      </c>
      <c r="W44" t="s">
        <v>89</v>
      </c>
      <c r="X44" t="s">
        <v>416</v>
      </c>
      <c r="Y44" t="s">
        <v>61</v>
      </c>
    </row>
    <row r="45" spans="1:25" x14ac:dyDescent="0.25">
      <c r="A45">
        <v>1</v>
      </c>
      <c r="B45" s="87">
        <f t="shared" ref="B45:B54" si="47">$B$12/(1+$E$3)^A45</f>
        <v>61090.441747572811</v>
      </c>
      <c r="C45" s="85">
        <f>B45</f>
        <v>61090.441747572811</v>
      </c>
      <c r="D45" s="137">
        <f t="shared" ref="D45:D54" si="48">$D$12/(1+$E$3)^A45</f>
        <v>142500</v>
      </c>
      <c r="E45" s="85">
        <f>D45</f>
        <v>142500</v>
      </c>
      <c r="F45" s="87">
        <f t="shared" ref="F45:F54" si="49">$F$12/(1+$E$3)^A45</f>
        <v>127145.43819677329</v>
      </c>
      <c r="G45" s="87">
        <f>F45</f>
        <v>127145.43819677329</v>
      </c>
      <c r="H45" s="87">
        <f>$H$12/(1+$E$3)^A45</f>
        <v>169527.25092903106</v>
      </c>
      <c r="I45" s="87">
        <f>H45</f>
        <v>169527.25092903106</v>
      </c>
      <c r="J45" s="87">
        <f t="shared" ref="J45:J54" si="50">$J$12/(1+$E$3)^A45</f>
        <v>249732.6493948827</v>
      </c>
      <c r="K45" s="87">
        <f>J45</f>
        <v>249732.6493948827</v>
      </c>
      <c r="L45" s="87">
        <f>$L$12/(1+$E$3)^A45</f>
        <v>332976.86585984356</v>
      </c>
      <c r="M45" s="87">
        <f>L45</f>
        <v>332976.86585984356</v>
      </c>
      <c r="N45" s="87">
        <f>$N$12/(1+$E$3)^A45</f>
        <v>1334.1977927211542</v>
      </c>
      <c r="O45" s="87">
        <f>N45</f>
        <v>1334.1977927211542</v>
      </c>
      <c r="P45" s="139">
        <f>$P$12/(1+$E$3)^A45</f>
        <v>2620.5639330716795</v>
      </c>
      <c r="Q45" s="139">
        <f>P45</f>
        <v>2620.5639330716795</v>
      </c>
      <c r="R45" s="139">
        <f>$R$12/(1+$E$3)^A45</f>
        <v>240.15560268980775</v>
      </c>
      <c r="S45" s="139">
        <f>R45</f>
        <v>240.15560268980775</v>
      </c>
      <c r="T45" s="139">
        <f>$T$12/(1+$E$3)^A45</f>
        <v>320.20747025307702</v>
      </c>
      <c r="U45" s="139">
        <f>T45</f>
        <v>320.20747025307702</v>
      </c>
      <c r="V45" s="82">
        <f>$V$12/(1+$E$3)^A45</f>
        <v>471.70150795290226</v>
      </c>
      <c r="W45" s="82">
        <f>V45</f>
        <v>471.70150795290226</v>
      </c>
      <c r="X45" s="82">
        <f>$X$12/(1+$E$3)^A45</f>
        <v>628.93534393720302</v>
      </c>
      <c r="Y45" s="82">
        <f>X45</f>
        <v>628.93534393720302</v>
      </c>
    </row>
    <row r="46" spans="1:25" x14ac:dyDescent="0.25">
      <c r="A46">
        <v>2</v>
      </c>
      <c r="B46" s="87">
        <f t="shared" si="47"/>
        <v>59311.108492789142</v>
      </c>
      <c r="C46" s="85">
        <f>C45+B46</f>
        <v>120401.55024036195</v>
      </c>
      <c r="D46" s="137">
        <f t="shared" si="48"/>
        <v>138349.51456310682</v>
      </c>
      <c r="E46" s="85">
        <f>E45+D46</f>
        <v>280849.51456310682</v>
      </c>
      <c r="F46" s="87">
        <f t="shared" si="49"/>
        <v>123442.17300657602</v>
      </c>
      <c r="G46" s="87">
        <f>G45+F46</f>
        <v>250587.61120334931</v>
      </c>
      <c r="H46" s="87">
        <f t="shared" ref="H46:H54" si="51">$H$12/(1+$E$3)^A46</f>
        <v>164589.56400876804</v>
      </c>
      <c r="I46" s="87">
        <f>I45+H46</f>
        <v>334116.81493779912</v>
      </c>
      <c r="J46" s="87">
        <f t="shared" si="50"/>
        <v>242458.88290765314</v>
      </c>
      <c r="K46" s="87">
        <f>K45+J46</f>
        <v>492191.53230253584</v>
      </c>
      <c r="L46" s="87">
        <f t="shared" ref="L46:L54" si="52">$L$12/(1+$E$3)^A46</f>
        <v>323278.51054353744</v>
      </c>
      <c r="M46" s="87">
        <f>M45+L46</f>
        <v>656255.376403381</v>
      </c>
      <c r="N46" s="87">
        <f t="shared" ref="N46:N54" si="53">$N$12/(1+$E$3)^A46</f>
        <v>1295.337662836072</v>
      </c>
      <c r="O46" s="87">
        <f>O45+N46</f>
        <v>2629.5354555572262</v>
      </c>
      <c r="P46" s="139">
        <f t="shared" ref="P46:P54" si="54">$P$12/(1+$E$3)^A46</f>
        <v>2544.2368282249317</v>
      </c>
      <c r="Q46" s="139">
        <f>Q45+P46</f>
        <v>5164.8007612966112</v>
      </c>
      <c r="R46" s="139">
        <f t="shared" ref="R46:R54" si="55">$R$12/(1+$E$3)^A46</f>
        <v>233.16077931049298</v>
      </c>
      <c r="S46" s="139">
        <f>S45+R46</f>
        <v>473.31638200030073</v>
      </c>
      <c r="T46" s="139">
        <f t="shared" ref="T46:T54" si="56">$T$12/(1+$E$3)^A46</f>
        <v>310.88103908065733</v>
      </c>
      <c r="U46" s="139">
        <f>U45+T46</f>
        <v>631.08850933373435</v>
      </c>
      <c r="V46" s="82">
        <f t="shared" ref="V46:V54" si="57">$V$12/(1+$E$3)^A46</f>
        <v>457.96262908048766</v>
      </c>
      <c r="W46" s="82">
        <f>W45+V46</f>
        <v>929.66413703338992</v>
      </c>
      <c r="X46" s="82">
        <f t="shared" ref="X46:X54" si="58">$X$12/(1+$E$3)^A46</f>
        <v>610.61683877398355</v>
      </c>
      <c r="Y46" s="82">
        <f>Y45+X46</f>
        <v>1239.5521827111866</v>
      </c>
    </row>
    <row r="47" spans="1:25" x14ac:dyDescent="0.25">
      <c r="A47">
        <v>3</v>
      </c>
      <c r="B47" s="87">
        <f t="shared" si="47"/>
        <v>57583.600478436056</v>
      </c>
      <c r="C47" s="85">
        <f t="shared" ref="C47:C54" si="59">C46+B47</f>
        <v>177985.15071879799</v>
      </c>
      <c r="D47" s="137">
        <f t="shared" si="48"/>
        <v>134319.91705155998</v>
      </c>
      <c r="E47" s="85">
        <f t="shared" ref="E47:E54" si="60">E46+D47</f>
        <v>415169.43161466683</v>
      </c>
      <c r="F47" s="87">
        <f t="shared" si="49"/>
        <v>119846.7699092971</v>
      </c>
      <c r="G47" s="87">
        <f t="shared" ref="G47:G54" si="61">G46+F47</f>
        <v>370434.38111264643</v>
      </c>
      <c r="H47" s="87">
        <f t="shared" si="51"/>
        <v>159795.69321239615</v>
      </c>
      <c r="I47" s="87">
        <f t="shared" ref="I47:I54" si="62">I46+H47</f>
        <v>493912.50815019524</v>
      </c>
      <c r="J47" s="87">
        <f t="shared" si="50"/>
        <v>235396.97369675062</v>
      </c>
      <c r="K47" s="87">
        <f t="shared" ref="K47:K54" si="63">K46+J47</f>
        <v>727588.50599928643</v>
      </c>
      <c r="L47" s="87">
        <f t="shared" si="52"/>
        <v>313862.63159566739</v>
      </c>
      <c r="M47" s="87">
        <f t="shared" ref="M47:M54" si="64">M46+L47</f>
        <v>970118.00799904834</v>
      </c>
      <c r="N47" s="87">
        <f t="shared" si="53"/>
        <v>1257.6093813942448</v>
      </c>
      <c r="O47" s="87">
        <f t="shared" ref="O47:O54" si="65">O46+N47</f>
        <v>3887.144836951471</v>
      </c>
      <c r="P47" s="139">
        <f t="shared" si="54"/>
        <v>2470.1328429368268</v>
      </c>
      <c r="Q47" s="139">
        <f t="shared" ref="Q47:Q54" si="66">Q46+P47</f>
        <v>7634.933604233438</v>
      </c>
      <c r="R47" s="139">
        <f t="shared" si="55"/>
        <v>226.36968865096404</v>
      </c>
      <c r="S47" s="139">
        <f t="shared" ref="S47:S54" si="67">S46+R47</f>
        <v>699.6860706512648</v>
      </c>
      <c r="T47" s="139">
        <f t="shared" si="56"/>
        <v>301.82625153461873</v>
      </c>
      <c r="U47" s="139">
        <f t="shared" ref="U47:U54" si="68">U46+T47</f>
        <v>932.91476086835314</v>
      </c>
      <c r="V47" s="82">
        <f t="shared" si="57"/>
        <v>444.6239117286288</v>
      </c>
      <c r="W47" s="82">
        <f t="shared" ref="W47:W54" si="69">W46+V47</f>
        <v>1374.2880487620187</v>
      </c>
      <c r="X47" s="82">
        <f t="shared" si="58"/>
        <v>592.83188230483836</v>
      </c>
      <c r="Y47" s="82">
        <f t="shared" ref="Y47:Y54" si="70">Y46+X47</f>
        <v>1832.384065016025</v>
      </c>
    </row>
    <row r="48" spans="1:25" x14ac:dyDescent="0.25">
      <c r="A48">
        <v>4</v>
      </c>
      <c r="B48" s="87">
        <f t="shared" si="47"/>
        <v>55906.408231491325</v>
      </c>
      <c r="C48" s="85">
        <f t="shared" si="59"/>
        <v>233891.55895028933</v>
      </c>
      <c r="D48" s="137">
        <f t="shared" si="48"/>
        <v>130407.68645782524</v>
      </c>
      <c r="E48" s="85">
        <f t="shared" si="60"/>
        <v>545577.11807249207</v>
      </c>
      <c r="F48" s="87">
        <f t="shared" si="49"/>
        <v>116356.08729057972</v>
      </c>
      <c r="G48" s="87">
        <f t="shared" si="61"/>
        <v>486790.46840322611</v>
      </c>
      <c r="H48" s="87">
        <f t="shared" si="51"/>
        <v>155141.44972077297</v>
      </c>
      <c r="I48" s="87">
        <f t="shared" si="62"/>
        <v>649053.95787096815</v>
      </c>
      <c r="J48" s="87">
        <f t="shared" si="50"/>
        <v>228540.7511618938</v>
      </c>
      <c r="K48" s="87">
        <f t="shared" si="63"/>
        <v>956129.25716118026</v>
      </c>
      <c r="L48" s="87">
        <f t="shared" si="52"/>
        <v>304721.00154919171</v>
      </c>
      <c r="M48" s="87">
        <f t="shared" si="64"/>
        <v>1274839.0095482401</v>
      </c>
      <c r="N48" s="87">
        <f t="shared" si="53"/>
        <v>1220.9799819361599</v>
      </c>
      <c r="O48" s="87">
        <f t="shared" si="65"/>
        <v>5108.1248188876307</v>
      </c>
      <c r="P48" s="139">
        <f t="shared" si="54"/>
        <v>2398.187226152259</v>
      </c>
      <c r="Q48" s="139">
        <f t="shared" si="66"/>
        <v>10033.120830385697</v>
      </c>
      <c r="R48" s="139">
        <f t="shared" si="55"/>
        <v>219.7763967485088</v>
      </c>
      <c r="S48" s="139">
        <f t="shared" si="67"/>
        <v>919.46246739977357</v>
      </c>
      <c r="T48" s="139">
        <f t="shared" si="56"/>
        <v>293.03519566467838</v>
      </c>
      <c r="U48" s="139">
        <f t="shared" si="68"/>
        <v>1225.9499565330316</v>
      </c>
      <c r="V48" s="82">
        <f t="shared" si="57"/>
        <v>431.67370070740662</v>
      </c>
      <c r="W48" s="82">
        <f t="shared" si="69"/>
        <v>1805.9617494694253</v>
      </c>
      <c r="X48" s="82">
        <f t="shared" si="58"/>
        <v>575.5649342765422</v>
      </c>
      <c r="Y48" s="82">
        <f t="shared" si="70"/>
        <v>2407.9489992925674</v>
      </c>
    </row>
    <row r="49" spans="1:25" x14ac:dyDescent="0.25">
      <c r="A49">
        <v>5</v>
      </c>
      <c r="B49" s="87">
        <f t="shared" si="47"/>
        <v>54278.066244166337</v>
      </c>
      <c r="C49" s="85">
        <f t="shared" si="59"/>
        <v>288169.62519445567</v>
      </c>
      <c r="D49" s="137">
        <f t="shared" si="48"/>
        <v>126609.40432798569</v>
      </c>
      <c r="E49" s="85">
        <f t="shared" si="60"/>
        <v>672186.52240047778</v>
      </c>
      <c r="F49" s="87">
        <f t="shared" si="49"/>
        <v>112967.07503939779</v>
      </c>
      <c r="G49" s="87">
        <f t="shared" si="61"/>
        <v>599757.54344262392</v>
      </c>
      <c r="H49" s="87">
        <f t="shared" si="51"/>
        <v>150622.76671919707</v>
      </c>
      <c r="I49" s="87">
        <f t="shared" si="62"/>
        <v>799676.72459016519</v>
      </c>
      <c r="J49" s="87">
        <f t="shared" si="50"/>
        <v>221884.22442902313</v>
      </c>
      <c r="K49" s="87">
        <f t="shared" si="63"/>
        <v>1178013.4815902035</v>
      </c>
      <c r="L49" s="87">
        <f t="shared" si="52"/>
        <v>295845.63257203077</v>
      </c>
      <c r="M49" s="87">
        <f t="shared" si="64"/>
        <v>1570684.642120271</v>
      </c>
      <c r="N49" s="87">
        <f t="shared" si="53"/>
        <v>1185.4174581904467</v>
      </c>
      <c r="O49" s="87">
        <f t="shared" si="65"/>
        <v>6293.5422770780769</v>
      </c>
      <c r="P49" s="139">
        <f t="shared" si="54"/>
        <v>2328.3371127691835</v>
      </c>
      <c r="Q49" s="139">
        <f t="shared" si="66"/>
        <v>12361.457943154881</v>
      </c>
      <c r="R49" s="139">
        <f t="shared" si="55"/>
        <v>213.37514247428041</v>
      </c>
      <c r="S49" s="139">
        <f t="shared" si="67"/>
        <v>1132.8376098740539</v>
      </c>
      <c r="T49" s="139">
        <f t="shared" si="56"/>
        <v>284.50018996570719</v>
      </c>
      <c r="U49" s="139">
        <f t="shared" si="68"/>
        <v>1510.4501464987388</v>
      </c>
      <c r="V49" s="82">
        <f t="shared" si="57"/>
        <v>419.10068029845303</v>
      </c>
      <c r="W49" s="82">
        <f t="shared" si="69"/>
        <v>2225.0624297678783</v>
      </c>
      <c r="X49" s="82">
        <f t="shared" si="58"/>
        <v>558.80090706460408</v>
      </c>
      <c r="Y49" s="82">
        <f t="shared" si="70"/>
        <v>2966.7499063571713</v>
      </c>
    </row>
    <row r="50" spans="1:25" x14ac:dyDescent="0.25">
      <c r="A50">
        <v>6</v>
      </c>
      <c r="B50" s="87">
        <f t="shared" si="47"/>
        <v>52697.151693365369</v>
      </c>
      <c r="C50" s="85">
        <f t="shared" si="59"/>
        <v>340866.77688782103</v>
      </c>
      <c r="D50" s="137">
        <f t="shared" si="48"/>
        <v>122921.75177474337</v>
      </c>
      <c r="E50" s="85">
        <f t="shared" si="60"/>
        <v>795108.2741752211</v>
      </c>
      <c r="F50" s="87">
        <f t="shared" si="49"/>
        <v>109676.77188291047</v>
      </c>
      <c r="G50" s="87">
        <f t="shared" si="61"/>
        <v>709434.31532553444</v>
      </c>
      <c r="H50" s="87">
        <f t="shared" si="51"/>
        <v>146235.69584388062</v>
      </c>
      <c r="I50" s="87">
        <f t="shared" si="62"/>
        <v>945912.42043404584</v>
      </c>
      <c r="J50" s="87">
        <f t="shared" si="50"/>
        <v>215421.57711555643</v>
      </c>
      <c r="K50" s="87">
        <f t="shared" si="63"/>
        <v>1393435.0587057599</v>
      </c>
      <c r="L50" s="87">
        <f t="shared" si="52"/>
        <v>287228.76948740851</v>
      </c>
      <c r="M50" s="87">
        <f t="shared" si="64"/>
        <v>1857913.4116076794</v>
      </c>
      <c r="N50" s="87">
        <f t="shared" si="53"/>
        <v>1150.8907361072297</v>
      </c>
      <c r="O50" s="87">
        <f t="shared" si="65"/>
        <v>7444.4330131853067</v>
      </c>
      <c r="P50" s="139">
        <f t="shared" si="54"/>
        <v>2260.5214687079451</v>
      </c>
      <c r="Q50" s="139">
        <f t="shared" si="66"/>
        <v>14621.979411862827</v>
      </c>
      <c r="R50" s="139">
        <f t="shared" si="55"/>
        <v>207.16033249930135</v>
      </c>
      <c r="S50" s="139">
        <f t="shared" si="67"/>
        <v>1339.9979423733553</v>
      </c>
      <c r="T50" s="139">
        <f t="shared" si="56"/>
        <v>276.21377666573511</v>
      </c>
      <c r="U50" s="139">
        <f t="shared" si="68"/>
        <v>1786.663923164474</v>
      </c>
      <c r="V50" s="82">
        <f t="shared" si="57"/>
        <v>406.89386436743013</v>
      </c>
      <c r="W50" s="82">
        <f t="shared" si="69"/>
        <v>2631.9562941353083</v>
      </c>
      <c r="X50" s="82">
        <f t="shared" si="58"/>
        <v>542.52515248990687</v>
      </c>
      <c r="Y50" s="82">
        <f t="shared" si="70"/>
        <v>3509.2750588470781</v>
      </c>
    </row>
    <row r="51" spans="1:25" x14ac:dyDescent="0.25">
      <c r="A51">
        <v>7</v>
      </c>
      <c r="B51" s="87">
        <f t="shared" si="47"/>
        <v>51162.283197442106</v>
      </c>
      <c r="C51" s="85">
        <f t="shared" si="59"/>
        <v>392029.06008526316</v>
      </c>
      <c r="D51" s="137">
        <f t="shared" si="48"/>
        <v>119341.50657742075</v>
      </c>
      <c r="E51" s="85">
        <f t="shared" si="60"/>
        <v>914449.78075264185</v>
      </c>
      <c r="F51" s="87">
        <f t="shared" si="49"/>
        <v>106482.3027989422</v>
      </c>
      <c r="G51" s="87">
        <f t="shared" si="61"/>
        <v>815916.61812447663</v>
      </c>
      <c r="H51" s="87">
        <f t="shared" si="51"/>
        <v>141976.40373192294</v>
      </c>
      <c r="I51" s="87">
        <f t="shared" si="62"/>
        <v>1087888.8241659687</v>
      </c>
      <c r="J51" s="87">
        <f t="shared" si="50"/>
        <v>209147.16224811302</v>
      </c>
      <c r="K51" s="87">
        <f t="shared" si="63"/>
        <v>1602582.2209538729</v>
      </c>
      <c r="L51" s="87">
        <f t="shared" si="52"/>
        <v>278862.882997484</v>
      </c>
      <c r="M51" s="87">
        <f t="shared" si="64"/>
        <v>2136776.2946051634</v>
      </c>
      <c r="N51" s="87">
        <f t="shared" si="53"/>
        <v>1117.3696467060481</v>
      </c>
      <c r="O51" s="87">
        <f t="shared" si="65"/>
        <v>8561.8026598913548</v>
      </c>
      <c r="P51" s="139">
        <f t="shared" si="54"/>
        <v>2194.6810375805294</v>
      </c>
      <c r="Q51" s="139">
        <f t="shared" si="66"/>
        <v>16816.660449443356</v>
      </c>
      <c r="R51" s="139">
        <f t="shared" si="55"/>
        <v>201.12653640708868</v>
      </c>
      <c r="S51" s="139">
        <f t="shared" si="67"/>
        <v>1541.124478780444</v>
      </c>
      <c r="T51" s="139">
        <f t="shared" si="56"/>
        <v>268.16871520945159</v>
      </c>
      <c r="U51" s="139">
        <f t="shared" si="68"/>
        <v>2054.8326383739254</v>
      </c>
      <c r="V51" s="82">
        <f t="shared" si="57"/>
        <v>395.04258676449524</v>
      </c>
      <c r="W51" s="82">
        <f t="shared" si="69"/>
        <v>3026.9988808998037</v>
      </c>
      <c r="X51" s="82">
        <f t="shared" si="58"/>
        <v>526.72344901932706</v>
      </c>
      <c r="Y51" s="82">
        <f t="shared" si="70"/>
        <v>4035.9985078664049</v>
      </c>
    </row>
    <row r="52" spans="1:25" x14ac:dyDescent="0.25">
      <c r="A52">
        <v>8</v>
      </c>
      <c r="B52" s="87">
        <f t="shared" si="47"/>
        <v>49672.119609167101</v>
      </c>
      <c r="C52" s="85">
        <f t="shared" si="59"/>
        <v>441701.17969443026</v>
      </c>
      <c r="D52" s="137">
        <f t="shared" si="48"/>
        <v>115865.54036642793</v>
      </c>
      <c r="E52" s="85">
        <f t="shared" si="60"/>
        <v>1030315.3211190698</v>
      </c>
      <c r="F52" s="87">
        <f t="shared" si="49"/>
        <v>103380.87650382739</v>
      </c>
      <c r="G52" s="87">
        <f t="shared" si="61"/>
        <v>919297.49462830403</v>
      </c>
      <c r="H52" s="87">
        <f t="shared" si="51"/>
        <v>137841.16867176985</v>
      </c>
      <c r="I52" s="87">
        <f t="shared" si="62"/>
        <v>1225729.9928377385</v>
      </c>
      <c r="J52" s="87">
        <f t="shared" si="50"/>
        <v>203055.4973282651</v>
      </c>
      <c r="K52" s="87">
        <f t="shared" si="63"/>
        <v>1805637.718282138</v>
      </c>
      <c r="L52" s="87">
        <f t="shared" si="52"/>
        <v>270740.66310435341</v>
      </c>
      <c r="M52" s="87">
        <f t="shared" si="64"/>
        <v>2407516.9577095169</v>
      </c>
      <c r="N52" s="87">
        <f t="shared" si="53"/>
        <v>1084.82489971461</v>
      </c>
      <c r="O52" s="87">
        <f t="shared" si="65"/>
        <v>9646.6275596059641</v>
      </c>
      <c r="P52" s="139">
        <f t="shared" si="54"/>
        <v>2130.7582889131354</v>
      </c>
      <c r="Q52" s="139">
        <f t="shared" si="66"/>
        <v>18947.418738356493</v>
      </c>
      <c r="R52" s="139">
        <f t="shared" si="55"/>
        <v>195.26848194862981</v>
      </c>
      <c r="S52" s="139">
        <f t="shared" si="67"/>
        <v>1736.3929607290738</v>
      </c>
      <c r="T52" s="139">
        <f t="shared" si="56"/>
        <v>260.35797593150642</v>
      </c>
      <c r="U52" s="139">
        <f t="shared" si="68"/>
        <v>2315.1906143054321</v>
      </c>
      <c r="V52" s="82">
        <f t="shared" si="57"/>
        <v>383.53649200436433</v>
      </c>
      <c r="W52" s="82">
        <f t="shared" si="69"/>
        <v>3410.5353729041681</v>
      </c>
      <c r="X52" s="82">
        <f t="shared" si="58"/>
        <v>511.38198933915248</v>
      </c>
      <c r="Y52" s="82">
        <f t="shared" si="70"/>
        <v>4547.3804972055577</v>
      </c>
    </row>
    <row r="53" spans="1:25" x14ac:dyDescent="0.25">
      <c r="A53">
        <v>9</v>
      </c>
      <c r="B53" s="87">
        <f t="shared" si="47"/>
        <v>48225.358843851551</v>
      </c>
      <c r="C53" s="85">
        <f t="shared" si="59"/>
        <v>489926.53853828181</v>
      </c>
      <c r="D53" s="137">
        <f t="shared" si="48"/>
        <v>112490.81588973585</v>
      </c>
      <c r="E53" s="85">
        <f t="shared" si="60"/>
        <v>1142806.1370088058</v>
      </c>
      <c r="F53" s="87">
        <f t="shared" si="49"/>
        <v>100369.78301342465</v>
      </c>
      <c r="G53" s="87">
        <f t="shared" si="61"/>
        <v>1019667.2776417286</v>
      </c>
      <c r="H53" s="87">
        <f t="shared" si="51"/>
        <v>133826.37735123286</v>
      </c>
      <c r="I53" s="87">
        <f t="shared" si="62"/>
        <v>1359556.3701889713</v>
      </c>
      <c r="J53" s="87">
        <f t="shared" si="50"/>
        <v>197141.25954200493</v>
      </c>
      <c r="K53" s="87">
        <f t="shared" si="63"/>
        <v>2002778.9778241429</v>
      </c>
      <c r="L53" s="87">
        <f t="shared" si="52"/>
        <v>262855.01272267319</v>
      </c>
      <c r="M53" s="87">
        <f t="shared" si="64"/>
        <v>2670371.9704321902</v>
      </c>
      <c r="N53" s="87">
        <f t="shared" si="53"/>
        <v>1053.2280579753494</v>
      </c>
      <c r="O53" s="87">
        <f t="shared" si="65"/>
        <v>10699.855617581314</v>
      </c>
      <c r="P53" s="139">
        <f t="shared" si="54"/>
        <v>2068.6973678768304</v>
      </c>
      <c r="Q53" s="139">
        <f t="shared" si="66"/>
        <v>21016.116106233323</v>
      </c>
      <c r="R53" s="139">
        <f t="shared" si="55"/>
        <v>189.5810504355629</v>
      </c>
      <c r="S53" s="139">
        <f t="shared" si="67"/>
        <v>1925.9740111646367</v>
      </c>
      <c r="T53" s="139">
        <f t="shared" si="56"/>
        <v>252.7747339140839</v>
      </c>
      <c r="U53" s="139">
        <f t="shared" si="68"/>
        <v>2567.9653482195158</v>
      </c>
      <c r="V53" s="82">
        <f t="shared" si="57"/>
        <v>372.36552621782943</v>
      </c>
      <c r="W53" s="82">
        <f t="shared" si="69"/>
        <v>3782.9008991219976</v>
      </c>
      <c r="X53" s="82">
        <f t="shared" si="58"/>
        <v>496.48736829043929</v>
      </c>
      <c r="Y53" s="82">
        <f t="shared" si="70"/>
        <v>5043.8678654959967</v>
      </c>
    </row>
    <row r="54" spans="1:25" x14ac:dyDescent="0.25">
      <c r="A54">
        <v>10</v>
      </c>
      <c r="B54" s="87">
        <f t="shared" si="47"/>
        <v>46820.736741603447</v>
      </c>
      <c r="C54" s="85">
        <f t="shared" si="59"/>
        <v>536747.27527988527</v>
      </c>
      <c r="D54" s="137">
        <f t="shared" si="48"/>
        <v>109214.38435896684</v>
      </c>
      <c r="E54" s="85">
        <f t="shared" si="60"/>
        <v>1252020.5213677725</v>
      </c>
      <c r="F54" s="87">
        <f t="shared" si="49"/>
        <v>97446.391275169561</v>
      </c>
      <c r="G54" s="87">
        <f t="shared" si="61"/>
        <v>1117113.6689168983</v>
      </c>
      <c r="H54" s="87">
        <f t="shared" si="51"/>
        <v>129928.52170022608</v>
      </c>
      <c r="I54" s="87">
        <f t="shared" si="62"/>
        <v>1489484.8918891973</v>
      </c>
      <c r="J54" s="87">
        <f t="shared" si="50"/>
        <v>191399.28110874267</v>
      </c>
      <c r="K54" s="87">
        <f t="shared" si="63"/>
        <v>2194178.2589328857</v>
      </c>
      <c r="L54" s="87">
        <f t="shared" si="52"/>
        <v>255199.04147832349</v>
      </c>
      <c r="M54" s="87">
        <f t="shared" si="64"/>
        <v>2925571.0119105135</v>
      </c>
      <c r="N54" s="87">
        <f t="shared" si="53"/>
        <v>1022.5515125974267</v>
      </c>
      <c r="O54" s="87">
        <f t="shared" si="65"/>
        <v>11722.407130178741</v>
      </c>
      <c r="P54" s="139">
        <f t="shared" si="54"/>
        <v>2008.4440464823597</v>
      </c>
      <c r="Q54" s="139">
        <f t="shared" si="66"/>
        <v>23024.560152715683</v>
      </c>
      <c r="R54" s="139">
        <f t="shared" si="55"/>
        <v>184.05927226753681</v>
      </c>
      <c r="S54" s="139">
        <f t="shared" si="67"/>
        <v>2110.0332834321734</v>
      </c>
      <c r="T54" s="139">
        <f t="shared" si="56"/>
        <v>245.41236302338243</v>
      </c>
      <c r="U54" s="139">
        <f t="shared" si="68"/>
        <v>2813.3777112428984</v>
      </c>
      <c r="V54" s="82">
        <f t="shared" si="57"/>
        <v>361.51992836682473</v>
      </c>
      <c r="W54" s="82">
        <f t="shared" si="69"/>
        <v>4144.4208274888224</v>
      </c>
      <c r="X54" s="82">
        <f t="shared" si="58"/>
        <v>482.02657115576631</v>
      </c>
      <c r="Y54" s="82">
        <f t="shared" si="70"/>
        <v>5525.8944366517626</v>
      </c>
    </row>
    <row r="56" spans="1:25" s="67" customFormat="1" ht="18.75" x14ac:dyDescent="0.3">
      <c r="A56" s="67" t="str">
        <f>Summary!B14</f>
        <v>Toothbrush/      Toothpaste</v>
      </c>
      <c r="B56" s="942" t="s">
        <v>150</v>
      </c>
      <c r="C56" s="942"/>
      <c r="D56" s="942"/>
      <c r="E56" s="942"/>
      <c r="F56" s="962" t="s">
        <v>152</v>
      </c>
      <c r="G56" s="962"/>
      <c r="H56" s="962"/>
      <c r="I56" s="962"/>
      <c r="J56" s="962"/>
      <c r="K56" s="962"/>
      <c r="L56" s="962"/>
      <c r="M56" s="962"/>
      <c r="N56" s="972" t="s">
        <v>407</v>
      </c>
      <c r="O56" s="972"/>
      <c r="P56" s="972"/>
      <c r="Q56" s="972"/>
      <c r="R56" s="971" t="s">
        <v>151</v>
      </c>
      <c r="S56" s="971"/>
      <c r="T56" s="971"/>
      <c r="U56" s="971"/>
      <c r="V56" s="971"/>
      <c r="W56" s="971"/>
      <c r="X56" s="971"/>
    </row>
    <row r="57" spans="1:25" x14ac:dyDescent="0.25">
      <c r="A57" s="550" t="s">
        <v>58</v>
      </c>
      <c r="B57" t="s">
        <v>57</v>
      </c>
      <c r="C57" t="s">
        <v>61</v>
      </c>
      <c r="D57" t="s">
        <v>59</v>
      </c>
      <c r="E57" t="s">
        <v>61</v>
      </c>
      <c r="F57" t="s">
        <v>410</v>
      </c>
      <c r="G57" t="s">
        <v>61</v>
      </c>
      <c r="H57" t="s">
        <v>409</v>
      </c>
      <c r="I57" t="s">
        <v>61</v>
      </c>
      <c r="J57" t="s">
        <v>411</v>
      </c>
      <c r="K57" t="s">
        <v>61</v>
      </c>
      <c r="L57" t="s">
        <v>412</v>
      </c>
      <c r="M57" t="s">
        <v>61</v>
      </c>
      <c r="N57" t="s">
        <v>65</v>
      </c>
      <c r="O57" t="s">
        <v>61</v>
      </c>
      <c r="P57" t="s">
        <v>408</v>
      </c>
      <c r="Q57" t="s">
        <v>61</v>
      </c>
      <c r="R57" s="82" t="s">
        <v>413</v>
      </c>
      <c r="S57" s="82" t="s">
        <v>61</v>
      </c>
      <c r="T57" s="82" t="s">
        <v>414</v>
      </c>
      <c r="U57" s="82" t="s">
        <v>89</v>
      </c>
      <c r="V57" t="s">
        <v>415</v>
      </c>
      <c r="W57" t="s">
        <v>89</v>
      </c>
      <c r="X57" t="s">
        <v>416</v>
      </c>
      <c r="Y57" t="s">
        <v>61</v>
      </c>
    </row>
    <row r="58" spans="1:25" x14ac:dyDescent="0.25">
      <c r="A58">
        <v>1</v>
      </c>
      <c r="B58" s="137">
        <f t="shared" ref="B58:B67" si="71">$B$13/(1+$E$3)^A58</f>
        <v>60500.000000000007</v>
      </c>
      <c r="C58" s="85">
        <f>B58</f>
        <v>60500.000000000007</v>
      </c>
      <c r="D58" s="137">
        <f t="shared" ref="D58:D67" si="72">$D$13/(1+$E$3)^A58</f>
        <v>110000</v>
      </c>
      <c r="E58" s="139">
        <f>D58</f>
        <v>110000</v>
      </c>
      <c r="F58" s="87">
        <f t="shared" ref="F58:F67" si="73">$F$13/(1+$E$3)^A58</f>
        <v>160245.11669504977</v>
      </c>
      <c r="G58" s="87">
        <f>F58</f>
        <v>160245.11669504977</v>
      </c>
      <c r="H58" s="87">
        <f>$H$13/(1+$E$3)^A58</f>
        <v>213660.15559339972</v>
      </c>
      <c r="I58" s="87">
        <f>H58</f>
        <v>213660.15559339972</v>
      </c>
      <c r="J58" s="87">
        <f t="shared" ref="J58:J67" si="74">$J$13/(1+$E$3)^A58</f>
        <v>291354.75762736314</v>
      </c>
      <c r="K58" s="87">
        <f>J58</f>
        <v>291354.75762736314</v>
      </c>
      <c r="L58" s="87">
        <f>$L$13/(1+$E$3)^A58</f>
        <v>388473.0101698176</v>
      </c>
      <c r="M58" s="87">
        <f>L58</f>
        <v>388473.0101698176</v>
      </c>
      <c r="N58" s="87">
        <f>$N$13/(1+$E$3)^A58</f>
        <v>1441.310163189424</v>
      </c>
      <c r="O58" s="87">
        <f>N58</f>
        <v>1441.310163189424</v>
      </c>
      <c r="P58" s="139">
        <f>$P$13/(1+$E$3)^A58</f>
        <v>2620.5639330716795</v>
      </c>
      <c r="Q58" s="139">
        <f>P58</f>
        <v>2620.5639330716795</v>
      </c>
      <c r="R58" s="139">
        <f>$R$13/(1+$E$3)^A58</f>
        <v>302.67513426977899</v>
      </c>
      <c r="S58" s="139">
        <f>R58</f>
        <v>302.67513426977899</v>
      </c>
      <c r="T58" s="139">
        <f>$T$13/(1+$E$3)^A58</f>
        <v>403.56684569303877</v>
      </c>
      <c r="U58" s="139">
        <f>T58</f>
        <v>403.56684569303877</v>
      </c>
      <c r="V58" s="82">
        <f>$V$13/(1+$E$3)^A58</f>
        <v>550.3184259450527</v>
      </c>
      <c r="W58" s="82">
        <f>V58</f>
        <v>550.3184259450527</v>
      </c>
      <c r="X58" s="82">
        <f>$X$13/(1+$E$3)^A58</f>
        <v>733.7579012600703</v>
      </c>
      <c r="Y58" s="82">
        <f>X58</f>
        <v>733.7579012600703</v>
      </c>
    </row>
    <row r="59" spans="1:25" x14ac:dyDescent="0.25">
      <c r="A59">
        <v>2</v>
      </c>
      <c r="B59" s="137">
        <f t="shared" si="71"/>
        <v>58737.86407766991</v>
      </c>
      <c r="C59" s="85">
        <f>C58+B59</f>
        <v>119237.86407766992</v>
      </c>
      <c r="D59" s="137">
        <f t="shared" si="72"/>
        <v>106796.11650485438</v>
      </c>
      <c r="E59" s="139">
        <f>E58+D59</f>
        <v>216796.11650485438</v>
      </c>
      <c r="F59" s="87">
        <f t="shared" si="73"/>
        <v>155577.78319907744</v>
      </c>
      <c r="G59" s="87">
        <f>G58+F59</f>
        <v>315822.89989412721</v>
      </c>
      <c r="H59" s="87">
        <f t="shared" ref="H59:H67" si="75">$H$13/(1+$E$3)^A59</f>
        <v>207437.04426543665</v>
      </c>
      <c r="I59" s="87">
        <f>I58+H59</f>
        <v>421097.19985883636</v>
      </c>
      <c r="J59" s="87">
        <f t="shared" si="74"/>
        <v>282868.69672559534</v>
      </c>
      <c r="K59" s="87">
        <f>K58+J59</f>
        <v>574223.45435295848</v>
      </c>
      <c r="L59" s="87">
        <f t="shared" ref="L59:L67" si="76">$L$13/(1+$E$3)^A59</f>
        <v>377158.26230079378</v>
      </c>
      <c r="M59" s="87">
        <f>M58+L59</f>
        <v>765631.27247061138</v>
      </c>
      <c r="N59" s="87">
        <f t="shared" ref="N59:N67" si="77">$N$13/(1+$E$3)^A59</f>
        <v>1399.3302555237128</v>
      </c>
      <c r="O59" s="87">
        <f>O58+N59</f>
        <v>2840.6404187131366</v>
      </c>
      <c r="P59" s="139">
        <f t="shared" ref="P59:P67" si="78">$P$13/(1+$E$3)^A59</f>
        <v>2544.2368282249317</v>
      </c>
      <c r="Q59" s="139">
        <f>Q58+P59</f>
        <v>5164.8007612966112</v>
      </c>
      <c r="R59" s="139">
        <f t="shared" ref="R59:R67" si="79">$R$13/(1+$E$3)^A59</f>
        <v>293.85935365997966</v>
      </c>
      <c r="S59" s="139">
        <f>S58+R59</f>
        <v>596.5344879297586</v>
      </c>
      <c r="T59" s="139">
        <f t="shared" ref="T59:T67" si="80">$T$13/(1+$E$3)^A59</f>
        <v>391.81247154663959</v>
      </c>
      <c r="U59" s="139">
        <f>U58+T59</f>
        <v>795.37931723967836</v>
      </c>
      <c r="V59" s="82">
        <f t="shared" ref="V59:V67" si="81">$V$13/(1+$E$3)^A59</f>
        <v>534.2897339272356</v>
      </c>
      <c r="W59" s="82">
        <f>W58+V59</f>
        <v>1084.6081598722883</v>
      </c>
      <c r="X59" s="82">
        <f t="shared" ref="X59:X67" si="82">$X$13/(1+$E$3)^A59</f>
        <v>712.38631190298088</v>
      </c>
      <c r="Y59" s="82">
        <f>Y58+X59</f>
        <v>1446.1442131630511</v>
      </c>
    </row>
    <row r="60" spans="1:25" x14ac:dyDescent="0.25">
      <c r="A60">
        <v>3</v>
      </c>
      <c r="B60" s="137">
        <f t="shared" si="71"/>
        <v>57027.052502592145</v>
      </c>
      <c r="C60" s="85">
        <f t="shared" ref="C60:C67" si="83">C59+B60</f>
        <v>176264.91658026207</v>
      </c>
      <c r="D60" s="137">
        <f t="shared" si="72"/>
        <v>103685.55000471298</v>
      </c>
      <c r="E60" s="139">
        <f t="shared" ref="E60:E67" si="84">E59+D60</f>
        <v>320481.66650956735</v>
      </c>
      <c r="F60" s="87">
        <f t="shared" si="73"/>
        <v>151046.391455415</v>
      </c>
      <c r="G60" s="87">
        <f t="shared" ref="G60:G67" si="85">G59+F60</f>
        <v>466869.29134954221</v>
      </c>
      <c r="H60" s="87">
        <f t="shared" si="75"/>
        <v>201395.18860722001</v>
      </c>
      <c r="I60" s="87">
        <f t="shared" ref="I60:I67" si="86">I59+H60</f>
        <v>622492.38846605644</v>
      </c>
      <c r="J60" s="87">
        <f t="shared" si="74"/>
        <v>274629.80264620902</v>
      </c>
      <c r="K60" s="87">
        <f t="shared" ref="K60:K67" si="87">K59+J60</f>
        <v>848853.2569991675</v>
      </c>
      <c r="L60" s="87">
        <f t="shared" si="76"/>
        <v>366173.07019494544</v>
      </c>
      <c r="M60" s="87">
        <f t="shared" ref="M60:M67" si="88">M59+L60</f>
        <v>1131804.3426655568</v>
      </c>
      <c r="N60" s="87">
        <f t="shared" si="77"/>
        <v>1358.573063615255</v>
      </c>
      <c r="O60" s="87">
        <f t="shared" ref="O60:O67" si="89">O59+N60</f>
        <v>4199.2134823283914</v>
      </c>
      <c r="P60" s="139">
        <f t="shared" si="78"/>
        <v>2470.1328429368268</v>
      </c>
      <c r="Q60" s="139">
        <f t="shared" ref="Q60:Q67" si="90">Q59+P60</f>
        <v>7634.933604233438</v>
      </c>
      <c r="R60" s="139">
        <f t="shared" si="79"/>
        <v>285.30034335920351</v>
      </c>
      <c r="S60" s="139">
        <f t="shared" ref="S60:S67" si="91">S59+R60</f>
        <v>881.83483128896205</v>
      </c>
      <c r="T60" s="139">
        <f t="shared" si="80"/>
        <v>380.40045781227144</v>
      </c>
      <c r="U60" s="139">
        <f t="shared" ref="U60:U67" si="92">U59+T60</f>
        <v>1175.7797750519499</v>
      </c>
      <c r="V60" s="82">
        <f t="shared" si="81"/>
        <v>518.72789701673366</v>
      </c>
      <c r="W60" s="82">
        <f t="shared" ref="W60:W67" si="93">W59+V60</f>
        <v>1603.3360568890221</v>
      </c>
      <c r="X60" s="82">
        <f t="shared" si="82"/>
        <v>691.63719602231151</v>
      </c>
      <c r="Y60" s="82">
        <f t="shared" ref="Y60:Y67" si="94">Y59+X60</f>
        <v>2137.7814091853625</v>
      </c>
    </row>
    <row r="61" spans="1:25" x14ac:dyDescent="0.25">
      <c r="A61">
        <v>4</v>
      </c>
      <c r="B61" s="137">
        <f t="shared" si="71"/>
        <v>55366.070390866167</v>
      </c>
      <c r="C61" s="85">
        <f t="shared" si="83"/>
        <v>231630.98697112824</v>
      </c>
      <c r="D61" s="137">
        <f t="shared" si="72"/>
        <v>100665.58252884756</v>
      </c>
      <c r="E61" s="139">
        <f t="shared" si="84"/>
        <v>421147.24903841491</v>
      </c>
      <c r="F61" s="87">
        <f t="shared" si="73"/>
        <v>146646.98199554856</v>
      </c>
      <c r="G61" s="87">
        <f t="shared" si="85"/>
        <v>613516.2733450908</v>
      </c>
      <c r="H61" s="87">
        <f t="shared" si="75"/>
        <v>195529.30932739811</v>
      </c>
      <c r="I61" s="87">
        <f t="shared" si="86"/>
        <v>818021.69779345451</v>
      </c>
      <c r="J61" s="87">
        <f t="shared" si="74"/>
        <v>266630.87635554274</v>
      </c>
      <c r="K61" s="87">
        <f t="shared" si="87"/>
        <v>1115484.1333547102</v>
      </c>
      <c r="L61" s="87">
        <f t="shared" si="76"/>
        <v>355507.83514072374</v>
      </c>
      <c r="M61" s="87">
        <f t="shared" si="88"/>
        <v>1487312.1778062806</v>
      </c>
      <c r="N61" s="87">
        <f t="shared" si="77"/>
        <v>1319.0029743837429</v>
      </c>
      <c r="O61" s="87">
        <f t="shared" si="89"/>
        <v>5518.2164567121345</v>
      </c>
      <c r="P61" s="139">
        <f t="shared" si="78"/>
        <v>2398.187226152259</v>
      </c>
      <c r="Q61" s="139">
        <f t="shared" si="90"/>
        <v>10033.120830385697</v>
      </c>
      <c r="R61" s="139">
        <f t="shared" si="79"/>
        <v>276.990624620586</v>
      </c>
      <c r="S61" s="139">
        <f t="shared" si="91"/>
        <v>1158.8254559095481</v>
      </c>
      <c r="T61" s="139">
        <f t="shared" si="80"/>
        <v>369.32083282744804</v>
      </c>
      <c r="U61" s="139">
        <f t="shared" si="92"/>
        <v>1545.100607879398</v>
      </c>
      <c r="V61" s="82">
        <f t="shared" si="81"/>
        <v>503.61931749197441</v>
      </c>
      <c r="W61" s="82">
        <f t="shared" si="93"/>
        <v>2106.9553743809965</v>
      </c>
      <c r="X61" s="82">
        <f t="shared" si="82"/>
        <v>671.49242332263259</v>
      </c>
      <c r="Y61" s="82">
        <f t="shared" si="94"/>
        <v>2809.2738325079949</v>
      </c>
    </row>
    <row r="62" spans="1:25" x14ac:dyDescent="0.25">
      <c r="A62">
        <v>5</v>
      </c>
      <c r="B62" s="137">
        <f t="shared" si="71"/>
        <v>53753.466398899189</v>
      </c>
      <c r="C62" s="85">
        <f t="shared" si="83"/>
        <v>285384.45337002742</v>
      </c>
      <c r="D62" s="137">
        <f t="shared" si="72"/>
        <v>97733.575270725793</v>
      </c>
      <c r="E62" s="139">
        <f t="shared" si="84"/>
        <v>518880.82430914068</v>
      </c>
      <c r="F62" s="87">
        <f t="shared" si="73"/>
        <v>142375.71067528985</v>
      </c>
      <c r="G62" s="87">
        <f t="shared" si="85"/>
        <v>755891.98402038065</v>
      </c>
      <c r="H62" s="87">
        <f t="shared" si="75"/>
        <v>189834.28090038651</v>
      </c>
      <c r="I62" s="87">
        <f t="shared" si="86"/>
        <v>1007855.978693841</v>
      </c>
      <c r="J62" s="87">
        <f t="shared" si="74"/>
        <v>258864.92850052696</v>
      </c>
      <c r="K62" s="87">
        <f t="shared" si="87"/>
        <v>1374349.0618552372</v>
      </c>
      <c r="L62" s="87">
        <f t="shared" si="76"/>
        <v>345153.23800070269</v>
      </c>
      <c r="M62" s="87">
        <f t="shared" si="88"/>
        <v>1832465.4158069831</v>
      </c>
      <c r="N62" s="87">
        <f t="shared" si="77"/>
        <v>1280.5854120230515</v>
      </c>
      <c r="O62" s="87">
        <f t="shared" si="89"/>
        <v>6798.801868735186</v>
      </c>
      <c r="P62" s="139">
        <f t="shared" si="78"/>
        <v>2328.3371127691835</v>
      </c>
      <c r="Q62" s="139">
        <f t="shared" si="90"/>
        <v>12361.457943154881</v>
      </c>
      <c r="R62" s="139">
        <f t="shared" si="79"/>
        <v>268.92293652484079</v>
      </c>
      <c r="S62" s="139">
        <f t="shared" si="91"/>
        <v>1427.7483924343887</v>
      </c>
      <c r="T62" s="139">
        <f t="shared" si="80"/>
        <v>358.56391536645441</v>
      </c>
      <c r="U62" s="139">
        <f t="shared" si="92"/>
        <v>1903.6645232458525</v>
      </c>
      <c r="V62" s="82">
        <f t="shared" si="81"/>
        <v>488.95079368152858</v>
      </c>
      <c r="W62" s="82">
        <f t="shared" si="93"/>
        <v>2595.906168062525</v>
      </c>
      <c r="X62" s="82">
        <f t="shared" si="82"/>
        <v>651.93439157537148</v>
      </c>
      <c r="Y62" s="82">
        <f t="shared" si="94"/>
        <v>3461.2082240833665</v>
      </c>
    </row>
    <row r="63" spans="1:25" x14ac:dyDescent="0.25">
      <c r="A63">
        <v>6</v>
      </c>
      <c r="B63" s="137">
        <f t="shared" si="71"/>
        <v>52187.831455241932</v>
      </c>
      <c r="C63" s="85">
        <f t="shared" si="83"/>
        <v>337572.28482526937</v>
      </c>
      <c r="D63" s="137">
        <f t="shared" si="72"/>
        <v>94886.966282258043</v>
      </c>
      <c r="E63" s="139">
        <f t="shared" si="84"/>
        <v>613767.79059139872</v>
      </c>
      <c r="F63" s="87">
        <f t="shared" si="73"/>
        <v>138228.84531581539</v>
      </c>
      <c r="G63" s="87">
        <f t="shared" si="85"/>
        <v>894120.82933619607</v>
      </c>
      <c r="H63" s="87">
        <f t="shared" si="75"/>
        <v>184305.12708775388</v>
      </c>
      <c r="I63" s="87">
        <f t="shared" si="86"/>
        <v>1192161.105781595</v>
      </c>
      <c r="J63" s="87">
        <f t="shared" si="74"/>
        <v>251325.17330148249</v>
      </c>
      <c r="K63" s="87">
        <f t="shared" si="87"/>
        <v>1625674.2351567198</v>
      </c>
      <c r="L63" s="87">
        <f t="shared" si="76"/>
        <v>335100.23106864333</v>
      </c>
      <c r="M63" s="87">
        <f t="shared" si="88"/>
        <v>2167565.6468756264</v>
      </c>
      <c r="N63" s="87">
        <f t="shared" si="77"/>
        <v>1243.2868077893702</v>
      </c>
      <c r="O63" s="87">
        <f t="shared" si="89"/>
        <v>8042.0886765245559</v>
      </c>
      <c r="P63" s="139">
        <f t="shared" si="78"/>
        <v>2260.5214687079451</v>
      </c>
      <c r="Q63" s="139">
        <f t="shared" si="90"/>
        <v>14621.979411862827</v>
      </c>
      <c r="R63" s="139">
        <f t="shared" si="79"/>
        <v>261.09022963576774</v>
      </c>
      <c r="S63" s="139">
        <f t="shared" si="91"/>
        <v>1688.8386220701564</v>
      </c>
      <c r="T63" s="139">
        <f t="shared" si="80"/>
        <v>348.12030618102369</v>
      </c>
      <c r="U63" s="139">
        <f t="shared" si="92"/>
        <v>2251.7848294268761</v>
      </c>
      <c r="V63" s="82">
        <f t="shared" si="81"/>
        <v>474.70950842866853</v>
      </c>
      <c r="W63" s="82">
        <f t="shared" si="93"/>
        <v>3070.6156764911934</v>
      </c>
      <c r="X63" s="82">
        <f t="shared" si="82"/>
        <v>632.94601123822474</v>
      </c>
      <c r="Y63" s="82">
        <f t="shared" si="94"/>
        <v>4094.1542353215914</v>
      </c>
    </row>
    <row r="64" spans="1:25" x14ac:dyDescent="0.25">
      <c r="A64">
        <v>7</v>
      </c>
      <c r="B64" s="137">
        <f t="shared" si="71"/>
        <v>50667.797529361094</v>
      </c>
      <c r="C64" s="85">
        <f t="shared" si="83"/>
        <v>388240.08235463046</v>
      </c>
      <c r="D64" s="137">
        <f t="shared" si="72"/>
        <v>92123.268235201976</v>
      </c>
      <c r="E64" s="139">
        <f t="shared" si="84"/>
        <v>705891.05882660067</v>
      </c>
      <c r="F64" s="87">
        <f t="shared" si="73"/>
        <v>134202.76244253921</v>
      </c>
      <c r="G64" s="87">
        <f t="shared" si="85"/>
        <v>1028323.5917787353</v>
      </c>
      <c r="H64" s="87">
        <f t="shared" si="75"/>
        <v>178937.01659005231</v>
      </c>
      <c r="I64" s="87">
        <f t="shared" si="86"/>
        <v>1371098.1223716473</v>
      </c>
      <c r="J64" s="87">
        <f t="shared" si="74"/>
        <v>244005.02262279851</v>
      </c>
      <c r="K64" s="87">
        <f t="shared" si="87"/>
        <v>1869679.2577795184</v>
      </c>
      <c r="L64" s="87">
        <f t="shared" si="76"/>
        <v>325340.03016373137</v>
      </c>
      <c r="M64" s="87">
        <f t="shared" si="88"/>
        <v>2492905.6770393578</v>
      </c>
      <c r="N64" s="87">
        <f t="shared" si="77"/>
        <v>1207.0745706692915</v>
      </c>
      <c r="O64" s="87">
        <f t="shared" si="89"/>
        <v>9249.1632471938465</v>
      </c>
      <c r="P64" s="139">
        <f t="shared" si="78"/>
        <v>2194.6810375805294</v>
      </c>
      <c r="Q64" s="139">
        <f t="shared" si="90"/>
        <v>16816.660449443356</v>
      </c>
      <c r="R64" s="139">
        <f t="shared" si="79"/>
        <v>253.48565984055116</v>
      </c>
      <c r="S64" s="139">
        <f t="shared" si="91"/>
        <v>1942.3242819107074</v>
      </c>
      <c r="T64" s="139">
        <f t="shared" si="80"/>
        <v>337.98087978740165</v>
      </c>
      <c r="U64" s="139">
        <f t="shared" si="92"/>
        <v>2589.7657092142776</v>
      </c>
      <c r="V64" s="82">
        <f t="shared" si="81"/>
        <v>460.88301789191115</v>
      </c>
      <c r="W64" s="82">
        <f t="shared" si="93"/>
        <v>3531.4986943831045</v>
      </c>
      <c r="X64" s="82">
        <f t="shared" si="82"/>
        <v>614.5106905225482</v>
      </c>
      <c r="Y64" s="82">
        <f t="shared" si="94"/>
        <v>4708.6649258441394</v>
      </c>
    </row>
    <row r="65" spans="1:25" x14ac:dyDescent="0.25">
      <c r="A65">
        <v>8</v>
      </c>
      <c r="B65" s="137">
        <f t="shared" si="71"/>
        <v>49192.036436272916</v>
      </c>
      <c r="C65" s="85">
        <f t="shared" si="83"/>
        <v>437432.11879090336</v>
      </c>
      <c r="D65" s="137">
        <f t="shared" si="72"/>
        <v>89440.066247768918</v>
      </c>
      <c r="E65" s="139">
        <f t="shared" si="84"/>
        <v>795331.1250743696</v>
      </c>
      <c r="F65" s="87">
        <f t="shared" si="73"/>
        <v>130293.94411897012</v>
      </c>
      <c r="G65" s="87">
        <f t="shared" si="85"/>
        <v>1158617.5358977055</v>
      </c>
      <c r="H65" s="87">
        <f t="shared" si="75"/>
        <v>173725.25882529351</v>
      </c>
      <c r="I65" s="87">
        <f t="shared" si="86"/>
        <v>1544823.3811969408</v>
      </c>
      <c r="J65" s="87">
        <f t="shared" si="74"/>
        <v>236898.08021630926</v>
      </c>
      <c r="K65" s="87">
        <f t="shared" si="87"/>
        <v>2106577.3379958277</v>
      </c>
      <c r="L65" s="87">
        <f t="shared" si="76"/>
        <v>315864.10695507907</v>
      </c>
      <c r="M65" s="87">
        <f t="shared" si="88"/>
        <v>2808769.7839944367</v>
      </c>
      <c r="N65" s="87">
        <f t="shared" si="77"/>
        <v>1171.9170589022249</v>
      </c>
      <c r="O65" s="87">
        <f t="shared" si="89"/>
        <v>10421.080306096072</v>
      </c>
      <c r="P65" s="139">
        <f t="shared" si="78"/>
        <v>2130.7582889131354</v>
      </c>
      <c r="Q65" s="139">
        <f t="shared" si="90"/>
        <v>18947.418738356493</v>
      </c>
      <c r="R65" s="139">
        <f t="shared" si="79"/>
        <v>246.1025823694672</v>
      </c>
      <c r="S65" s="139">
        <f t="shared" si="91"/>
        <v>2188.4268642801744</v>
      </c>
      <c r="T65" s="139">
        <f t="shared" si="80"/>
        <v>328.13677649262297</v>
      </c>
      <c r="U65" s="139">
        <f t="shared" si="92"/>
        <v>2917.9024857069007</v>
      </c>
      <c r="V65" s="82">
        <f t="shared" si="81"/>
        <v>447.45924067175844</v>
      </c>
      <c r="W65" s="82">
        <f t="shared" si="93"/>
        <v>3978.9579350548629</v>
      </c>
      <c r="X65" s="82">
        <f t="shared" si="82"/>
        <v>596.61232089567795</v>
      </c>
      <c r="Y65" s="82">
        <f t="shared" si="94"/>
        <v>5305.2772467398172</v>
      </c>
    </row>
    <row r="66" spans="1:25" x14ac:dyDescent="0.25">
      <c r="A66">
        <v>9</v>
      </c>
      <c r="B66" s="137">
        <f t="shared" si="71"/>
        <v>47759.258675993122</v>
      </c>
      <c r="C66" s="85">
        <f t="shared" si="83"/>
        <v>485191.37746689649</v>
      </c>
      <c r="D66" s="137">
        <f t="shared" si="72"/>
        <v>86835.015774532934</v>
      </c>
      <c r="E66" s="139">
        <f t="shared" si="84"/>
        <v>882166.14084890252</v>
      </c>
      <c r="F66" s="87">
        <f t="shared" si="73"/>
        <v>126498.97487278652</v>
      </c>
      <c r="G66" s="87">
        <f t="shared" si="85"/>
        <v>1285116.510770492</v>
      </c>
      <c r="H66" s="87">
        <f t="shared" si="75"/>
        <v>168665.29983038205</v>
      </c>
      <c r="I66" s="87">
        <f t="shared" si="86"/>
        <v>1713488.6810273228</v>
      </c>
      <c r="J66" s="87">
        <f t="shared" si="74"/>
        <v>229998.13613233907</v>
      </c>
      <c r="K66" s="87">
        <f t="shared" si="87"/>
        <v>2336575.4741281667</v>
      </c>
      <c r="L66" s="87">
        <f t="shared" si="76"/>
        <v>306664.18150978547</v>
      </c>
      <c r="M66" s="87">
        <f t="shared" si="88"/>
        <v>3115433.9655042221</v>
      </c>
      <c r="N66" s="87">
        <f t="shared" si="77"/>
        <v>1137.7835523322572</v>
      </c>
      <c r="O66" s="87">
        <f t="shared" si="89"/>
        <v>11558.863858428329</v>
      </c>
      <c r="P66" s="139">
        <f t="shared" si="78"/>
        <v>2068.6973678768304</v>
      </c>
      <c r="Q66" s="139">
        <f t="shared" si="90"/>
        <v>21016.116106233323</v>
      </c>
      <c r="R66" s="139">
        <f t="shared" si="79"/>
        <v>238.93454598977397</v>
      </c>
      <c r="S66" s="139">
        <f t="shared" si="91"/>
        <v>2427.3614102699485</v>
      </c>
      <c r="T66" s="139">
        <f t="shared" si="80"/>
        <v>318.57939465303201</v>
      </c>
      <c r="U66" s="139">
        <f t="shared" si="92"/>
        <v>3236.4818803599328</v>
      </c>
      <c r="V66" s="82">
        <f t="shared" si="81"/>
        <v>434.42644725413442</v>
      </c>
      <c r="W66" s="82">
        <f t="shared" si="93"/>
        <v>4413.3843823089974</v>
      </c>
      <c r="X66" s="82">
        <f t="shared" si="82"/>
        <v>579.23526300551259</v>
      </c>
      <c r="Y66" s="82">
        <f t="shared" si="94"/>
        <v>5884.5125097453301</v>
      </c>
    </row>
    <row r="67" spans="1:25" x14ac:dyDescent="0.25">
      <c r="A67">
        <v>10</v>
      </c>
      <c r="B67" s="137">
        <f t="shared" si="71"/>
        <v>46368.212306789435</v>
      </c>
      <c r="C67" s="85">
        <f t="shared" si="83"/>
        <v>531559.5897736859</v>
      </c>
      <c r="D67" s="137">
        <f t="shared" si="72"/>
        <v>84305.840557798962</v>
      </c>
      <c r="E67" s="139">
        <f t="shared" si="84"/>
        <v>966471.9814067015</v>
      </c>
      <c r="F67" s="87">
        <f t="shared" si="73"/>
        <v>122814.53871144322</v>
      </c>
      <c r="G67" s="87">
        <f t="shared" si="85"/>
        <v>1407931.0494819353</v>
      </c>
      <c r="H67" s="87">
        <f t="shared" si="75"/>
        <v>163752.71828192432</v>
      </c>
      <c r="I67" s="87">
        <f t="shared" si="86"/>
        <v>1877241.399309247</v>
      </c>
      <c r="J67" s="87">
        <f t="shared" si="74"/>
        <v>223299.16129353308</v>
      </c>
      <c r="K67" s="87">
        <f t="shared" si="87"/>
        <v>2559874.6354216998</v>
      </c>
      <c r="L67" s="87">
        <f t="shared" si="76"/>
        <v>297732.21505804418</v>
      </c>
      <c r="M67" s="87">
        <f t="shared" si="88"/>
        <v>3413166.1805622661</v>
      </c>
      <c r="N67" s="87">
        <f t="shared" si="77"/>
        <v>1104.644225565298</v>
      </c>
      <c r="O67" s="87">
        <f t="shared" si="89"/>
        <v>12663.508083993627</v>
      </c>
      <c r="P67" s="139">
        <f t="shared" si="78"/>
        <v>2008.4440464823597</v>
      </c>
      <c r="Q67" s="139">
        <f t="shared" si="90"/>
        <v>23024.560152715683</v>
      </c>
      <c r="R67" s="139">
        <f t="shared" si="79"/>
        <v>231.97528736871257</v>
      </c>
      <c r="S67" s="139">
        <f t="shared" si="91"/>
        <v>2659.336697638661</v>
      </c>
      <c r="T67" s="139">
        <f t="shared" si="80"/>
        <v>309.30038315828352</v>
      </c>
      <c r="U67" s="139">
        <f t="shared" si="92"/>
        <v>3545.7822635182165</v>
      </c>
      <c r="V67" s="82">
        <f t="shared" si="81"/>
        <v>421.77324976129552</v>
      </c>
      <c r="W67" s="82">
        <f t="shared" si="93"/>
        <v>4835.1576320702925</v>
      </c>
      <c r="X67" s="82">
        <f t="shared" si="82"/>
        <v>562.36433301506077</v>
      </c>
      <c r="Y67" s="82">
        <f t="shared" si="94"/>
        <v>6446.8768427603909</v>
      </c>
    </row>
    <row r="69" spans="1:25" s="67" customFormat="1" ht="18.75" x14ac:dyDescent="0.3">
      <c r="A69" s="67" t="str">
        <f>Summary!B15</f>
        <v>Initial Exam</v>
      </c>
      <c r="B69" s="942" t="s">
        <v>150</v>
      </c>
      <c r="C69" s="942"/>
      <c r="D69" s="942"/>
      <c r="E69" s="942"/>
      <c r="F69" s="962" t="s">
        <v>152</v>
      </c>
      <c r="G69" s="962"/>
      <c r="H69" s="962"/>
      <c r="I69" s="962"/>
      <c r="J69" s="962"/>
      <c r="K69" s="962"/>
      <c r="L69" s="962"/>
      <c r="M69" s="962"/>
      <c r="N69" s="972" t="s">
        <v>407</v>
      </c>
      <c r="O69" s="972"/>
      <c r="P69" s="972"/>
      <c r="Q69" s="972"/>
      <c r="R69" s="971" t="s">
        <v>151</v>
      </c>
      <c r="S69" s="971"/>
      <c r="T69" s="971"/>
      <c r="U69" s="971"/>
      <c r="V69" s="971"/>
      <c r="W69" s="971"/>
      <c r="X69" s="971"/>
    </row>
    <row r="70" spans="1:25" x14ac:dyDescent="0.25">
      <c r="A70" s="550" t="s">
        <v>58</v>
      </c>
      <c r="B70" t="s">
        <v>57</v>
      </c>
      <c r="C70" t="s">
        <v>61</v>
      </c>
      <c r="D70" t="s">
        <v>59</v>
      </c>
      <c r="E70" t="s">
        <v>61</v>
      </c>
      <c r="F70" t="s">
        <v>410</v>
      </c>
      <c r="G70" t="s">
        <v>61</v>
      </c>
      <c r="H70" t="s">
        <v>409</v>
      </c>
      <c r="I70" t="s">
        <v>61</v>
      </c>
      <c r="J70" t="s">
        <v>411</v>
      </c>
      <c r="K70" t="s">
        <v>61</v>
      </c>
      <c r="L70" t="s">
        <v>412</v>
      </c>
      <c r="M70" t="s">
        <v>61</v>
      </c>
      <c r="N70" t="s">
        <v>65</v>
      </c>
      <c r="O70" t="s">
        <v>61</v>
      </c>
      <c r="P70" t="s">
        <v>66</v>
      </c>
      <c r="Q70" t="s">
        <v>61</v>
      </c>
      <c r="R70" s="82" t="s">
        <v>413</v>
      </c>
      <c r="S70" s="82" t="s">
        <v>61</v>
      </c>
      <c r="T70" s="82" t="s">
        <v>414</v>
      </c>
      <c r="U70" s="82" t="s">
        <v>89</v>
      </c>
      <c r="V70" t="s">
        <v>415</v>
      </c>
      <c r="W70" t="s">
        <v>89</v>
      </c>
      <c r="X70" t="s">
        <v>416</v>
      </c>
      <c r="Y70" t="s">
        <v>61</v>
      </c>
    </row>
    <row r="71" spans="1:25" x14ac:dyDescent="0.25">
      <c r="A71">
        <v>1</v>
      </c>
      <c r="B71" s="137">
        <f t="shared" ref="B71:B80" si="95">$B$14/(1+$E$3)^A71</f>
        <v>10534.718446601943</v>
      </c>
      <c r="C71" s="85">
        <f>B71</f>
        <v>10534.718446601943</v>
      </c>
      <c r="D71" s="137">
        <f t="shared" ref="D71:D80" si="96">$D$14/(1+$E$3)^A71</f>
        <v>37066.601941747576</v>
      </c>
      <c r="E71" s="85">
        <f>D71</f>
        <v>37066.601941747576</v>
      </c>
      <c r="F71" s="87">
        <f t="shared" ref="F71:F80" si="97">$F$14/(1+$E$3)^A71</f>
        <v>19202.743526286129</v>
      </c>
      <c r="G71" s="87">
        <f>F71</f>
        <v>19202.743526286129</v>
      </c>
      <c r="H71" s="87">
        <f>$H$14/(1+$E$3)^A71</f>
        <v>27931.263310961644</v>
      </c>
      <c r="I71" s="87">
        <f>H71</f>
        <v>27931.263310961644</v>
      </c>
      <c r="J71" s="87">
        <f t="shared" ref="J71:J80" si="98">$J$14/(1+$E$3)^A71</f>
        <v>237663.58500125736</v>
      </c>
      <c r="K71" s="87">
        <f>J71</f>
        <v>237663.58500125736</v>
      </c>
      <c r="L71" s="87">
        <f>$L$14/(1+$E$3)^A71</f>
        <v>345692.48727455613</v>
      </c>
      <c r="M71" s="87">
        <f>L71</f>
        <v>345692.48727455613</v>
      </c>
      <c r="N71" s="139">
        <f>$N$14/(1+$E$3)^A71</f>
        <v>164.86654646897557</v>
      </c>
      <c r="O71" s="139">
        <f>N71</f>
        <v>164.86654646897557</v>
      </c>
      <c r="P71" s="139">
        <f>$P$14/(1+$E$3)^A71</f>
        <v>2040.4779362363954</v>
      </c>
      <c r="Q71" s="139">
        <f>P71</f>
        <v>2040.4779362363954</v>
      </c>
      <c r="R71" s="139">
        <f>$R$14/(1+$E$3)^A71</f>
        <v>36.270640223174631</v>
      </c>
      <c r="S71" s="139">
        <f>R71</f>
        <v>36.270640223174631</v>
      </c>
      <c r="T71" s="139">
        <f>$T$14/(1+$E$3)^A71</f>
        <v>52.757294870072187</v>
      </c>
      <c r="U71" s="139">
        <f>T71</f>
        <v>52.757294870072187</v>
      </c>
      <c r="V71" s="82">
        <f>$V$14/(1+$E$3)^A71</f>
        <v>448.90514597200701</v>
      </c>
      <c r="W71" s="82">
        <f>V71</f>
        <v>448.90514597200701</v>
      </c>
      <c r="X71" s="82">
        <f>$X$14/(1+$E$3)^A71</f>
        <v>652.95293959564651</v>
      </c>
      <c r="Y71" s="82">
        <f>X71</f>
        <v>652.95293959564651</v>
      </c>
    </row>
    <row r="72" spans="1:25" x14ac:dyDescent="0.25">
      <c r="A72">
        <v>2</v>
      </c>
      <c r="B72" s="137">
        <f t="shared" si="95"/>
        <v>10227.881986992177</v>
      </c>
      <c r="C72" s="85">
        <f>C71+B72</f>
        <v>20762.600433594118</v>
      </c>
      <c r="D72" s="137">
        <f t="shared" si="96"/>
        <v>35986.992176453961</v>
      </c>
      <c r="E72" s="85">
        <f>E71+D72</f>
        <v>73053.594118201538</v>
      </c>
      <c r="F72" s="87">
        <f t="shared" si="97"/>
        <v>18643.440316782649</v>
      </c>
      <c r="G72" s="87">
        <f>G71+F72</f>
        <v>37846.183843068779</v>
      </c>
      <c r="H72" s="87">
        <f t="shared" ref="H72:H80" si="99">$H$14/(1+$E$3)^A72</f>
        <v>27117.731369865673</v>
      </c>
      <c r="I72" s="87">
        <f>I71+H72</f>
        <v>55048.994680827316</v>
      </c>
      <c r="J72" s="87">
        <f t="shared" si="98"/>
        <v>230741.34466141491</v>
      </c>
      <c r="K72" s="87">
        <f>K71+J72</f>
        <v>468404.92966267228</v>
      </c>
      <c r="L72" s="87">
        <f t="shared" ref="L72:L80" si="100">$L$14/(1+$E$3)^A72</f>
        <v>335623.77405296714</v>
      </c>
      <c r="M72" s="87">
        <f>M71+L72</f>
        <v>681316.26132752327</v>
      </c>
      <c r="N72" s="139">
        <f t="shared" ref="N72:N80" si="101">$N$14/(1+$E$3)^A72</f>
        <v>160.06460822230639</v>
      </c>
      <c r="O72" s="139">
        <f>O71+N72</f>
        <v>324.93115469128196</v>
      </c>
      <c r="P72" s="139">
        <f t="shared" ref="P72:P80" si="102">$P$14/(1+$E$3)^A72</f>
        <v>1981.0465400353355</v>
      </c>
      <c r="Q72" s="139">
        <f>Q71+P72</f>
        <v>4021.5244762717311</v>
      </c>
      <c r="R72" s="139">
        <f t="shared" ref="R72:R80" si="103">$R$14/(1+$E$3)^A72</f>
        <v>35.214213808907409</v>
      </c>
      <c r="S72" s="139">
        <f>S71+R72</f>
        <v>71.48485403208204</v>
      </c>
      <c r="T72" s="139">
        <f t="shared" ref="T72:T80" si="104">$T$14/(1+$E$3)^A72</f>
        <v>51.220674631138053</v>
      </c>
      <c r="U72" s="139">
        <f>U71+T72</f>
        <v>103.97796950121024</v>
      </c>
      <c r="V72" s="82">
        <f t="shared" ref="V72:V80" si="105">$V$14/(1+$E$3)^A72</f>
        <v>435.83023880777381</v>
      </c>
      <c r="W72" s="82">
        <f>W71+V72</f>
        <v>884.73538477978082</v>
      </c>
      <c r="X72" s="82">
        <f t="shared" ref="X72:X80" si="106">$X$14/(1+$E$3)^A72</f>
        <v>633.93489281130735</v>
      </c>
      <c r="Y72" s="82">
        <f>Y71+X72</f>
        <v>1286.8878324069537</v>
      </c>
    </row>
    <row r="73" spans="1:25" x14ac:dyDescent="0.25">
      <c r="A73">
        <v>3</v>
      </c>
      <c r="B73" s="137">
        <f t="shared" si="95"/>
        <v>9929.9825116428892</v>
      </c>
      <c r="C73" s="85">
        <f t="shared" ref="C73:C80" si="107">C72+B73</f>
        <v>30692.582945237009</v>
      </c>
      <c r="D73" s="137">
        <f t="shared" si="96"/>
        <v>34938.827355780544</v>
      </c>
      <c r="E73" s="85">
        <f t="shared" ref="E73:E80" si="108">E72+D73</f>
        <v>107992.42147398207</v>
      </c>
      <c r="F73" s="87">
        <f t="shared" si="97"/>
        <v>18100.42749202199</v>
      </c>
      <c r="G73" s="87">
        <f t="shared" ref="G73:G80" si="109">G72+F73</f>
        <v>55946.611335090769</v>
      </c>
      <c r="H73" s="87">
        <f t="shared" si="99"/>
        <v>26327.894533850169</v>
      </c>
      <c r="I73" s="87">
        <f t="shared" ref="I73:I80" si="110">I72+H73</f>
        <v>81376.889214677489</v>
      </c>
      <c r="J73" s="87">
        <f t="shared" si="98"/>
        <v>224020.72297224749</v>
      </c>
      <c r="K73" s="87">
        <f t="shared" ref="K73:K80" si="111">K72+J73</f>
        <v>692425.65263491974</v>
      </c>
      <c r="L73" s="87">
        <f t="shared" si="100"/>
        <v>325848.32432326907</v>
      </c>
      <c r="M73" s="87">
        <f t="shared" ref="M73:M80" si="112">M72+L73</f>
        <v>1007164.5856507923</v>
      </c>
      <c r="N73" s="139">
        <f t="shared" si="101"/>
        <v>155.4025322546664</v>
      </c>
      <c r="O73" s="139">
        <f t="shared" ref="O73:O80" si="113">O72+N73</f>
        <v>480.33368694594833</v>
      </c>
      <c r="P73" s="139">
        <f t="shared" si="102"/>
        <v>1923.346155374112</v>
      </c>
      <c r="Q73" s="139">
        <f t="shared" ref="Q73:Q80" si="114">Q72+P73</f>
        <v>5944.8706316458429</v>
      </c>
      <c r="R73" s="139">
        <f t="shared" si="103"/>
        <v>34.188557096026614</v>
      </c>
      <c r="S73" s="139">
        <f t="shared" ref="S73:S80" si="115">S72+R73</f>
        <v>105.67341112810865</v>
      </c>
      <c r="T73" s="139">
        <f t="shared" si="104"/>
        <v>49.728810321493249</v>
      </c>
      <c r="U73" s="139">
        <f t="shared" ref="U73:U80" si="116">U72+T73</f>
        <v>153.70677982270348</v>
      </c>
      <c r="V73" s="82">
        <f t="shared" si="105"/>
        <v>423.13615418230467</v>
      </c>
      <c r="W73" s="82">
        <f t="shared" ref="W73:W80" si="117">W72+V73</f>
        <v>1307.8715389620854</v>
      </c>
      <c r="X73" s="82">
        <f t="shared" si="106"/>
        <v>615.4707697197158</v>
      </c>
      <c r="Y73" s="82">
        <f t="shared" ref="Y73:Y80" si="118">Y72+X73</f>
        <v>1902.3586021266697</v>
      </c>
    </row>
    <row r="74" spans="1:25" x14ac:dyDescent="0.25">
      <c r="A74">
        <v>4</v>
      </c>
      <c r="B74" s="137">
        <f t="shared" si="95"/>
        <v>9640.7597200416421</v>
      </c>
      <c r="C74" s="85">
        <f t="shared" si="107"/>
        <v>40333.342665278651</v>
      </c>
      <c r="D74" s="137">
        <f t="shared" si="96"/>
        <v>33921.191607553927</v>
      </c>
      <c r="E74" s="85">
        <f t="shared" si="108"/>
        <v>141913.61308153599</v>
      </c>
      <c r="F74" s="87">
        <f t="shared" si="97"/>
        <v>17573.23057477863</v>
      </c>
      <c r="G74" s="87">
        <f t="shared" si="109"/>
        <v>73519.841909869399</v>
      </c>
      <c r="H74" s="87">
        <f t="shared" si="99"/>
        <v>25561.062654223464</v>
      </c>
      <c r="I74" s="87">
        <f t="shared" si="110"/>
        <v>106937.95186890096</v>
      </c>
      <c r="J74" s="87">
        <f t="shared" si="98"/>
        <v>217495.84754587137</v>
      </c>
      <c r="K74" s="87">
        <f t="shared" si="111"/>
        <v>909921.50018079113</v>
      </c>
      <c r="L74" s="87">
        <f t="shared" si="100"/>
        <v>316357.59643035836</v>
      </c>
      <c r="M74" s="87">
        <f t="shared" si="112"/>
        <v>1323522.1820811508</v>
      </c>
      <c r="N74" s="139">
        <f t="shared" si="101"/>
        <v>150.87624490744312</v>
      </c>
      <c r="O74" s="139">
        <f t="shared" si="113"/>
        <v>631.20993185339148</v>
      </c>
      <c r="P74" s="139">
        <f t="shared" si="102"/>
        <v>1867.3263644408855</v>
      </c>
      <c r="Q74" s="139">
        <f t="shared" si="114"/>
        <v>7812.1969960867282</v>
      </c>
      <c r="R74" s="139">
        <f t="shared" si="103"/>
        <v>33.192773879637485</v>
      </c>
      <c r="S74" s="139">
        <f t="shared" si="115"/>
        <v>138.86618500774614</v>
      </c>
      <c r="T74" s="139">
        <f t="shared" si="104"/>
        <v>48.280398370381796</v>
      </c>
      <c r="U74" s="139">
        <f t="shared" si="116"/>
        <v>201.98717819308527</v>
      </c>
      <c r="V74" s="82">
        <f t="shared" si="105"/>
        <v>410.81180017699484</v>
      </c>
      <c r="W74" s="82">
        <f t="shared" si="117"/>
        <v>1718.6833391390803</v>
      </c>
      <c r="X74" s="82">
        <f t="shared" si="106"/>
        <v>597.54443662108338</v>
      </c>
      <c r="Y74" s="82">
        <f t="shared" si="118"/>
        <v>2499.9030387477533</v>
      </c>
    </row>
    <row r="75" spans="1:25" x14ac:dyDescent="0.25">
      <c r="A75">
        <v>5</v>
      </c>
      <c r="B75" s="137">
        <f t="shared" si="95"/>
        <v>9359.9608932443134</v>
      </c>
      <c r="C75" s="85">
        <f t="shared" si="107"/>
        <v>49693.303558522966</v>
      </c>
      <c r="D75" s="137">
        <f t="shared" si="96"/>
        <v>32933.195735489251</v>
      </c>
      <c r="E75" s="85">
        <f t="shared" si="108"/>
        <v>174846.80881702524</v>
      </c>
      <c r="F75" s="87">
        <f t="shared" si="97"/>
        <v>17061.388907552071</v>
      </c>
      <c r="G75" s="87">
        <f t="shared" si="109"/>
        <v>90581.23081742147</v>
      </c>
      <c r="H75" s="87">
        <f t="shared" si="99"/>
        <v>24816.565683712102</v>
      </c>
      <c r="I75" s="87">
        <f t="shared" si="110"/>
        <v>131754.51755261305</v>
      </c>
      <c r="J75" s="87">
        <f t="shared" si="98"/>
        <v>211161.0170348266</v>
      </c>
      <c r="K75" s="87">
        <f t="shared" si="111"/>
        <v>1121082.5172156177</v>
      </c>
      <c r="L75" s="87">
        <f t="shared" si="100"/>
        <v>307143.2975052023</v>
      </c>
      <c r="M75" s="87">
        <f t="shared" si="112"/>
        <v>1630665.4795863531</v>
      </c>
      <c r="N75" s="139">
        <f t="shared" si="101"/>
        <v>146.48179117227488</v>
      </c>
      <c r="O75" s="139">
        <f t="shared" si="113"/>
        <v>777.69172302566631</v>
      </c>
      <c r="P75" s="139">
        <f t="shared" si="102"/>
        <v>1812.9382179037725</v>
      </c>
      <c r="Q75" s="139">
        <f t="shared" si="114"/>
        <v>9625.1352139905011</v>
      </c>
      <c r="R75" s="139">
        <f t="shared" si="103"/>
        <v>32.225994057900479</v>
      </c>
      <c r="S75" s="139">
        <f t="shared" si="115"/>
        <v>171.09217906564663</v>
      </c>
      <c r="T75" s="139">
        <f t="shared" si="104"/>
        <v>46.874173175127964</v>
      </c>
      <c r="U75" s="139">
        <f t="shared" si="116"/>
        <v>248.86135136821323</v>
      </c>
      <c r="V75" s="82">
        <f t="shared" si="105"/>
        <v>398.84640793882994</v>
      </c>
      <c r="W75" s="82">
        <f t="shared" si="117"/>
        <v>2117.5297470779101</v>
      </c>
      <c r="X75" s="82">
        <f t="shared" si="106"/>
        <v>580.14022972920714</v>
      </c>
      <c r="Y75" s="82">
        <f t="shared" si="118"/>
        <v>3080.0432684769603</v>
      </c>
    </row>
    <row r="76" spans="1:25" x14ac:dyDescent="0.25">
      <c r="A76">
        <v>6</v>
      </c>
      <c r="B76" s="137">
        <f t="shared" si="95"/>
        <v>9087.3406730527295</v>
      </c>
      <c r="C76" s="85">
        <f t="shared" si="107"/>
        <v>58780.644231575694</v>
      </c>
      <c r="D76" s="137">
        <f t="shared" si="96"/>
        <v>31973.976442222574</v>
      </c>
      <c r="E76" s="85">
        <f t="shared" si="108"/>
        <v>206820.78525924782</v>
      </c>
      <c r="F76" s="87">
        <f t="shared" si="97"/>
        <v>16564.455250050552</v>
      </c>
      <c r="G76" s="87">
        <f t="shared" si="109"/>
        <v>107145.68606747202</v>
      </c>
      <c r="H76" s="87">
        <f t="shared" si="99"/>
        <v>24093.753090982624</v>
      </c>
      <c r="I76" s="87">
        <f t="shared" si="110"/>
        <v>155848.27064359566</v>
      </c>
      <c r="J76" s="87">
        <f t="shared" si="98"/>
        <v>205010.69615031706</v>
      </c>
      <c r="K76" s="87">
        <f t="shared" si="111"/>
        <v>1326093.2133659348</v>
      </c>
      <c r="L76" s="87">
        <f t="shared" si="100"/>
        <v>298197.37621864298</v>
      </c>
      <c r="M76" s="87">
        <f t="shared" si="112"/>
        <v>1928862.8558049961</v>
      </c>
      <c r="N76" s="139">
        <f t="shared" si="101"/>
        <v>142.21533123521831</v>
      </c>
      <c r="O76" s="139">
        <f t="shared" si="113"/>
        <v>919.90705426088459</v>
      </c>
      <c r="P76" s="139">
        <f t="shared" si="102"/>
        <v>1760.1341921395849</v>
      </c>
      <c r="Q76" s="139">
        <f t="shared" si="114"/>
        <v>11385.269406130086</v>
      </c>
      <c r="R76" s="139">
        <f t="shared" si="103"/>
        <v>31.287372871748033</v>
      </c>
      <c r="S76" s="139">
        <f t="shared" si="115"/>
        <v>202.37955193739467</v>
      </c>
      <c r="T76" s="139">
        <f t="shared" si="104"/>
        <v>45.508905995269863</v>
      </c>
      <c r="U76" s="139">
        <f t="shared" si="116"/>
        <v>294.37025736348312</v>
      </c>
      <c r="V76" s="82">
        <f t="shared" si="105"/>
        <v>387.22952227070869</v>
      </c>
      <c r="W76" s="82">
        <f t="shared" si="117"/>
        <v>2504.7592693486185</v>
      </c>
      <c r="X76" s="82">
        <f t="shared" si="106"/>
        <v>563.24294148466709</v>
      </c>
      <c r="Y76" s="82">
        <f t="shared" si="118"/>
        <v>3643.2862099616273</v>
      </c>
    </row>
    <row r="77" spans="1:25" x14ac:dyDescent="0.25">
      <c r="A77">
        <v>7</v>
      </c>
      <c r="B77" s="137">
        <f t="shared" si="95"/>
        <v>8822.660847624009</v>
      </c>
      <c r="C77" s="85">
        <f t="shared" si="107"/>
        <v>67603.305079199708</v>
      </c>
      <c r="D77" s="137">
        <f t="shared" si="96"/>
        <v>31042.695574973372</v>
      </c>
      <c r="E77" s="85">
        <f t="shared" si="108"/>
        <v>237863.48083422118</v>
      </c>
      <c r="F77" s="87">
        <f t="shared" si="97"/>
        <v>16081.995388398595</v>
      </c>
      <c r="G77" s="87">
        <f t="shared" si="109"/>
        <v>123227.68145587062</v>
      </c>
      <c r="H77" s="87">
        <f t="shared" si="99"/>
        <v>23391.993292216139</v>
      </c>
      <c r="I77" s="87">
        <f t="shared" si="110"/>
        <v>179240.26393581182</v>
      </c>
      <c r="J77" s="87">
        <f t="shared" si="98"/>
        <v>199039.51082555053</v>
      </c>
      <c r="K77" s="87">
        <f t="shared" si="111"/>
        <v>1525132.7241914854</v>
      </c>
      <c r="L77" s="87">
        <f t="shared" si="100"/>
        <v>289512.01574625529</v>
      </c>
      <c r="M77" s="87">
        <f t="shared" si="112"/>
        <v>2218374.8715512515</v>
      </c>
      <c r="N77" s="139">
        <f t="shared" si="101"/>
        <v>138.07313712157119</v>
      </c>
      <c r="O77" s="139">
        <f t="shared" si="113"/>
        <v>1057.9801913824558</v>
      </c>
      <c r="P77" s="139">
        <f t="shared" si="102"/>
        <v>1708.8681477083346</v>
      </c>
      <c r="Q77" s="139">
        <f t="shared" si="114"/>
        <v>13094.13755383842</v>
      </c>
      <c r="R77" s="139">
        <f t="shared" si="103"/>
        <v>30.376090166745662</v>
      </c>
      <c r="S77" s="139">
        <f t="shared" si="115"/>
        <v>232.75564210414032</v>
      </c>
      <c r="T77" s="139">
        <f t="shared" si="104"/>
        <v>44.18340387890278</v>
      </c>
      <c r="U77" s="139">
        <f t="shared" si="116"/>
        <v>338.55366124238589</v>
      </c>
      <c r="V77" s="82">
        <f t="shared" si="105"/>
        <v>375.95099249583365</v>
      </c>
      <c r="W77" s="82">
        <f t="shared" si="117"/>
        <v>2880.7102618444524</v>
      </c>
      <c r="X77" s="82">
        <f t="shared" si="106"/>
        <v>546.83780726666714</v>
      </c>
      <c r="Y77" s="82">
        <f t="shared" si="118"/>
        <v>4190.1240172282942</v>
      </c>
    </row>
    <row r="78" spans="1:25" x14ac:dyDescent="0.25">
      <c r="A78">
        <v>8</v>
      </c>
      <c r="B78" s="137">
        <f t="shared" si="95"/>
        <v>8565.690143324282</v>
      </c>
      <c r="C78" s="85">
        <f t="shared" si="107"/>
        <v>76168.995222523983</v>
      </c>
      <c r="D78" s="137">
        <f t="shared" si="96"/>
        <v>30138.539393178035</v>
      </c>
      <c r="E78" s="85">
        <f t="shared" si="108"/>
        <v>268002.02022739919</v>
      </c>
      <c r="F78" s="87">
        <f t="shared" si="97"/>
        <v>15613.587755726792</v>
      </c>
      <c r="G78" s="87">
        <f t="shared" si="109"/>
        <v>138841.26921159742</v>
      </c>
      <c r="H78" s="87">
        <f t="shared" si="99"/>
        <v>22710.673099238971</v>
      </c>
      <c r="I78" s="87">
        <f t="shared" si="110"/>
        <v>201950.9370350508</v>
      </c>
      <c r="J78" s="87">
        <f t="shared" si="98"/>
        <v>193242.243519952</v>
      </c>
      <c r="K78" s="87">
        <f t="shared" si="111"/>
        <v>1718374.9677114375</v>
      </c>
      <c r="L78" s="87">
        <f t="shared" si="100"/>
        <v>281079.62693811196</v>
      </c>
      <c r="M78" s="87">
        <f t="shared" si="112"/>
        <v>2499454.4984893636</v>
      </c>
      <c r="N78" s="139">
        <f t="shared" si="101"/>
        <v>134.05158943841863</v>
      </c>
      <c r="O78" s="139">
        <f t="shared" si="113"/>
        <v>1192.0317808208745</v>
      </c>
      <c r="P78" s="139">
        <f t="shared" si="102"/>
        <v>1659.0952890372184</v>
      </c>
      <c r="Q78" s="139">
        <f t="shared" si="114"/>
        <v>14753.232842875639</v>
      </c>
      <c r="R78" s="139">
        <f t="shared" si="103"/>
        <v>29.491349676452103</v>
      </c>
      <c r="S78" s="139">
        <f t="shared" si="115"/>
        <v>262.24699178059245</v>
      </c>
      <c r="T78" s="139">
        <f t="shared" si="104"/>
        <v>42.896508620293964</v>
      </c>
      <c r="U78" s="139">
        <f t="shared" si="116"/>
        <v>381.45016986267984</v>
      </c>
      <c r="V78" s="82">
        <f t="shared" si="105"/>
        <v>365.00096358818803</v>
      </c>
      <c r="W78" s="82">
        <f t="shared" si="117"/>
        <v>3245.7112254326403</v>
      </c>
      <c r="X78" s="82">
        <f t="shared" si="106"/>
        <v>530.91049249190985</v>
      </c>
      <c r="Y78" s="82">
        <f t="shared" si="118"/>
        <v>4721.0345097202044</v>
      </c>
    </row>
    <row r="79" spans="1:25" x14ac:dyDescent="0.25">
      <c r="A79">
        <v>9</v>
      </c>
      <c r="B79" s="137">
        <f t="shared" si="95"/>
        <v>8316.2040226449335</v>
      </c>
      <c r="C79" s="85">
        <f t="shared" si="107"/>
        <v>84485.199245168915</v>
      </c>
      <c r="D79" s="137">
        <f t="shared" si="96"/>
        <v>29260.717857454401</v>
      </c>
      <c r="E79" s="85">
        <f t="shared" si="108"/>
        <v>297262.73808485357</v>
      </c>
      <c r="F79" s="87">
        <f t="shared" si="97"/>
        <v>15158.823063812419</v>
      </c>
      <c r="G79" s="87">
        <f t="shared" si="109"/>
        <v>154000.09227540984</v>
      </c>
      <c r="H79" s="87">
        <f t="shared" si="99"/>
        <v>22049.197183727156</v>
      </c>
      <c r="I79" s="87">
        <f t="shared" si="110"/>
        <v>224000.13421877794</v>
      </c>
      <c r="J79" s="87">
        <f t="shared" si="98"/>
        <v>187613.82866014756</v>
      </c>
      <c r="K79" s="87">
        <f t="shared" si="111"/>
        <v>1905988.796371585</v>
      </c>
      <c r="L79" s="87">
        <f t="shared" si="100"/>
        <v>272892.84168748732</v>
      </c>
      <c r="M79" s="87">
        <f t="shared" si="112"/>
        <v>2772347.340176851</v>
      </c>
      <c r="N79" s="139">
        <f t="shared" si="101"/>
        <v>130.14717421205694</v>
      </c>
      <c r="O79" s="139">
        <f t="shared" si="113"/>
        <v>1322.1789550329313</v>
      </c>
      <c r="P79" s="139">
        <f t="shared" si="102"/>
        <v>1610.7721252788526</v>
      </c>
      <c r="Q79" s="139">
        <f t="shared" si="114"/>
        <v>16364.004968154492</v>
      </c>
      <c r="R79" s="139">
        <f t="shared" si="103"/>
        <v>28.632378326652525</v>
      </c>
      <c r="S79" s="139">
        <f t="shared" si="115"/>
        <v>290.87937010724499</v>
      </c>
      <c r="T79" s="139">
        <f t="shared" si="104"/>
        <v>41.647095747858216</v>
      </c>
      <c r="U79" s="139">
        <f t="shared" si="116"/>
        <v>423.09726561053805</v>
      </c>
      <c r="V79" s="82">
        <f t="shared" si="105"/>
        <v>354.36986756134763</v>
      </c>
      <c r="W79" s="82">
        <f t="shared" si="117"/>
        <v>3600.081092993988</v>
      </c>
      <c r="X79" s="82">
        <f t="shared" si="106"/>
        <v>515.44708008923283</v>
      </c>
      <c r="Y79" s="82">
        <f t="shared" si="118"/>
        <v>5236.4815898094375</v>
      </c>
    </row>
    <row r="80" spans="1:25" x14ac:dyDescent="0.25">
      <c r="A80">
        <v>10</v>
      </c>
      <c r="B80" s="137">
        <f t="shared" si="95"/>
        <v>8073.9844880047904</v>
      </c>
      <c r="C80" s="85">
        <f t="shared" si="107"/>
        <v>92559.183733173704</v>
      </c>
      <c r="D80" s="137">
        <f t="shared" si="96"/>
        <v>28408.463939276116</v>
      </c>
      <c r="E80" s="85">
        <f t="shared" si="108"/>
        <v>325671.20202412969</v>
      </c>
      <c r="F80" s="87">
        <f t="shared" si="97"/>
        <v>14717.30394544895</v>
      </c>
      <c r="G80" s="87">
        <f t="shared" si="109"/>
        <v>168717.39622085879</v>
      </c>
      <c r="H80" s="87">
        <f t="shared" si="99"/>
        <v>21406.987557016655</v>
      </c>
      <c r="I80" s="87">
        <f t="shared" si="110"/>
        <v>245407.1217757946</v>
      </c>
      <c r="J80" s="87">
        <f t="shared" si="98"/>
        <v>182149.3482137355</v>
      </c>
      <c r="K80" s="87">
        <f t="shared" si="111"/>
        <v>2088138.1445853205</v>
      </c>
      <c r="L80" s="87">
        <f t="shared" si="100"/>
        <v>264944.50649270613</v>
      </c>
      <c r="M80" s="87">
        <f t="shared" si="112"/>
        <v>3037291.846669557</v>
      </c>
      <c r="N80" s="139">
        <f t="shared" si="101"/>
        <v>126.356479817531</v>
      </c>
      <c r="O80" s="139">
        <f t="shared" si="113"/>
        <v>1448.5354348504623</v>
      </c>
      <c r="P80" s="139">
        <f t="shared" si="102"/>
        <v>1563.8564323095657</v>
      </c>
      <c r="Q80" s="139">
        <f t="shared" si="114"/>
        <v>17927.861400464059</v>
      </c>
      <c r="R80" s="139">
        <f t="shared" si="103"/>
        <v>27.79842555985682</v>
      </c>
      <c r="S80" s="139">
        <f t="shared" si="115"/>
        <v>318.6777956671018</v>
      </c>
      <c r="T80" s="139">
        <f t="shared" si="104"/>
        <v>40.434073541609919</v>
      </c>
      <c r="U80" s="139">
        <f t="shared" si="116"/>
        <v>463.53133915214795</v>
      </c>
      <c r="V80" s="82">
        <f t="shared" si="105"/>
        <v>344.04841510810445</v>
      </c>
      <c r="W80" s="82">
        <f t="shared" si="117"/>
        <v>3944.1295081020926</v>
      </c>
      <c r="X80" s="82">
        <f t="shared" si="106"/>
        <v>500.43405833906104</v>
      </c>
      <c r="Y80" s="82">
        <f t="shared" si="118"/>
        <v>5736.9156481484988</v>
      </c>
    </row>
  </sheetData>
  <mergeCells count="44">
    <mergeCell ref="F43:M43"/>
    <mergeCell ref="F56:M56"/>
    <mergeCell ref="F69:M69"/>
    <mergeCell ref="V8:Y8"/>
    <mergeCell ref="R7:Y7"/>
    <mergeCell ref="N69:Q69"/>
    <mergeCell ref="R56:X56"/>
    <mergeCell ref="R69:X69"/>
    <mergeCell ref="P9:Q9"/>
    <mergeCell ref="N7:Q7"/>
    <mergeCell ref="N8:Q8"/>
    <mergeCell ref="N17:Q17"/>
    <mergeCell ref="N30:Q30"/>
    <mergeCell ref="N43:Q43"/>
    <mergeCell ref="P14:Q14"/>
    <mergeCell ref="N9:O9"/>
    <mergeCell ref="F7:M7"/>
    <mergeCell ref="R30:X30"/>
    <mergeCell ref="N10:O10"/>
    <mergeCell ref="N11:O11"/>
    <mergeCell ref="N12:O12"/>
    <mergeCell ref="N13:O13"/>
    <mergeCell ref="N14:O14"/>
    <mergeCell ref="P10:Q10"/>
    <mergeCell ref="P11:Q11"/>
    <mergeCell ref="P12:Q12"/>
    <mergeCell ref="F8:I8"/>
    <mergeCell ref="J8:M8"/>
    <mergeCell ref="B1:N2"/>
    <mergeCell ref="B7:E7"/>
    <mergeCell ref="B69:E69"/>
    <mergeCell ref="R8:T8"/>
    <mergeCell ref="B43:E43"/>
    <mergeCell ref="B56:E56"/>
    <mergeCell ref="R43:X43"/>
    <mergeCell ref="N56:Q56"/>
    <mergeCell ref="B17:E17"/>
    <mergeCell ref="F17:M17"/>
    <mergeCell ref="B30:E30"/>
    <mergeCell ref="F30:M30"/>
    <mergeCell ref="D5:E5"/>
    <mergeCell ref="F5:G5"/>
    <mergeCell ref="R17:W17"/>
    <mergeCell ref="P13:Q13"/>
  </mergeCells>
  <pageMargins left="0.7" right="0.7" top="0.75" bottom="0.75" header="0.3" footer="0.3"/>
  <pageSetup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B1:W4"/>
  <sheetViews>
    <sheetView workbookViewId="0">
      <selection activeCell="A11" sqref="A11"/>
    </sheetView>
  </sheetViews>
  <sheetFormatPr defaultRowHeight="15" x14ac:dyDescent="0.25"/>
  <cols>
    <col min="1" max="16384" width="9.140625" style="359"/>
  </cols>
  <sheetData>
    <row r="1" spans="2:23" s="1" customFormat="1" ht="35.25" customHeight="1" x14ac:dyDescent="0.25">
      <c r="G1" s="72"/>
      <c r="H1" s="72"/>
      <c r="I1" s="72"/>
    </row>
    <row r="2" spans="2:23" s="77" customFormat="1" ht="46.5" customHeight="1" x14ac:dyDescent="0.7">
      <c r="B2" s="81"/>
      <c r="C2" s="81"/>
      <c r="D2" s="81"/>
      <c r="E2" s="955" t="s">
        <v>182</v>
      </c>
      <c r="F2" s="955"/>
      <c r="G2" s="955"/>
      <c r="H2" s="955"/>
      <c r="I2" s="955"/>
      <c r="J2" s="955"/>
      <c r="K2" s="955"/>
      <c r="L2" s="955"/>
      <c r="M2" s="955"/>
      <c r="N2" s="955"/>
      <c r="O2" s="955"/>
      <c r="P2" s="955"/>
      <c r="Q2" s="955"/>
      <c r="R2" s="955"/>
      <c r="S2" s="955"/>
      <c r="T2" s="955"/>
      <c r="U2" s="955"/>
      <c r="V2" s="955"/>
      <c r="W2" s="955"/>
    </row>
    <row r="3" spans="2:23" x14ac:dyDescent="0.25">
      <c r="H3" s="360"/>
      <c r="I3" s="360"/>
      <c r="J3" s="360"/>
      <c r="K3" s="360"/>
      <c r="L3" s="360"/>
      <c r="M3" s="360"/>
      <c r="N3" s="360"/>
      <c r="O3" s="360"/>
      <c r="P3" s="360"/>
      <c r="Q3" s="360"/>
      <c r="R3" s="360"/>
      <c r="S3" s="360"/>
    </row>
    <row r="4" spans="2:23" x14ac:dyDescent="0.25">
      <c r="I4" s="360"/>
      <c r="J4" s="360"/>
      <c r="K4" s="360"/>
      <c r="L4" s="360"/>
      <c r="M4" s="360"/>
      <c r="N4" s="360"/>
      <c r="O4" s="360"/>
      <c r="P4" s="360"/>
      <c r="Q4" s="360"/>
      <c r="R4" s="360"/>
      <c r="S4" s="360"/>
    </row>
  </sheetData>
  <mergeCells count="1">
    <mergeCell ref="E2:W2"/>
  </mergeCell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B1:W4"/>
  <sheetViews>
    <sheetView workbookViewId="0"/>
  </sheetViews>
  <sheetFormatPr defaultRowHeight="15" x14ac:dyDescent="0.25"/>
  <cols>
    <col min="1" max="16384" width="9.140625" style="359"/>
  </cols>
  <sheetData>
    <row r="1" spans="2:23" s="1" customFormat="1" ht="35.25" customHeight="1" x14ac:dyDescent="0.25">
      <c r="G1" s="72"/>
      <c r="H1" s="72"/>
      <c r="I1" s="72"/>
    </row>
    <row r="2" spans="2:23" s="77" customFormat="1" ht="46.5" customHeight="1" x14ac:dyDescent="0.7">
      <c r="B2" s="81"/>
      <c r="C2" s="81"/>
      <c r="D2" s="81"/>
      <c r="E2" s="955" t="s">
        <v>199</v>
      </c>
      <c r="F2" s="955"/>
      <c r="G2" s="955"/>
      <c r="H2" s="955"/>
      <c r="I2" s="955"/>
      <c r="J2" s="955"/>
      <c r="K2" s="955"/>
      <c r="L2" s="955"/>
      <c r="M2" s="955"/>
      <c r="N2" s="955"/>
      <c r="O2" s="955"/>
      <c r="P2" s="955"/>
      <c r="Q2" s="955"/>
      <c r="R2" s="955"/>
      <c r="S2" s="955"/>
      <c r="T2" s="955"/>
      <c r="U2" s="955"/>
      <c r="V2" s="955"/>
      <c r="W2" s="955"/>
    </row>
    <row r="3" spans="2:23" x14ac:dyDescent="0.25">
      <c r="H3" s="360"/>
      <c r="I3" s="360"/>
      <c r="J3" s="360"/>
      <c r="K3" s="360"/>
      <c r="L3" s="360"/>
      <c r="M3" s="360"/>
      <c r="N3" s="360"/>
      <c r="O3" s="360"/>
      <c r="P3" s="360"/>
      <c r="Q3" s="360"/>
      <c r="R3" s="360"/>
      <c r="S3" s="360"/>
    </row>
    <row r="4" spans="2:23" x14ac:dyDescent="0.25">
      <c r="I4" s="360"/>
      <c r="J4" s="360"/>
      <c r="K4" s="360"/>
      <c r="L4" s="360"/>
      <c r="M4" s="360"/>
      <c r="N4" s="360"/>
      <c r="O4" s="360"/>
      <c r="P4" s="360"/>
      <c r="Q4" s="360"/>
      <c r="R4" s="360"/>
      <c r="S4" s="360"/>
    </row>
  </sheetData>
  <mergeCells count="1">
    <mergeCell ref="E2:W2"/>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B1:W4"/>
  <sheetViews>
    <sheetView workbookViewId="0"/>
  </sheetViews>
  <sheetFormatPr defaultRowHeight="15" x14ac:dyDescent="0.25"/>
  <cols>
    <col min="1" max="16384" width="9.140625" style="359"/>
  </cols>
  <sheetData>
    <row r="1" spans="2:23" s="1" customFormat="1" ht="35.25" customHeight="1" x14ac:dyDescent="0.25">
      <c r="G1" s="72"/>
      <c r="H1" s="72"/>
      <c r="I1" s="72"/>
    </row>
    <row r="2" spans="2:23" s="77" customFormat="1" ht="46.5" customHeight="1" x14ac:dyDescent="0.7">
      <c r="B2" s="81"/>
      <c r="C2" s="81"/>
      <c r="D2" s="81"/>
      <c r="E2" s="955" t="s">
        <v>199</v>
      </c>
      <c r="F2" s="955"/>
      <c r="G2" s="955"/>
      <c r="H2" s="955"/>
      <c r="I2" s="955"/>
      <c r="J2" s="955"/>
      <c r="K2" s="955"/>
      <c r="L2" s="955"/>
      <c r="M2" s="955"/>
      <c r="N2" s="955"/>
      <c r="O2" s="955"/>
      <c r="P2" s="955"/>
      <c r="Q2" s="955"/>
      <c r="R2" s="955"/>
      <c r="S2" s="955"/>
      <c r="T2" s="955"/>
      <c r="U2" s="955"/>
      <c r="V2" s="955"/>
      <c r="W2" s="955"/>
    </row>
    <row r="3" spans="2:23" x14ac:dyDescent="0.25">
      <c r="H3" s="360"/>
      <c r="I3" s="360"/>
      <c r="J3" s="360"/>
      <c r="K3" s="360"/>
      <c r="L3" s="360"/>
      <c r="M3" s="360"/>
      <c r="N3" s="360"/>
      <c r="O3" s="360"/>
      <c r="P3" s="360"/>
      <c r="Q3" s="360"/>
      <c r="R3" s="360"/>
      <c r="S3" s="360"/>
    </row>
    <row r="4" spans="2:23" x14ac:dyDescent="0.25">
      <c r="I4" s="360"/>
      <c r="J4" s="360"/>
      <c r="K4" s="360"/>
      <c r="L4" s="360"/>
      <c r="M4" s="360"/>
      <c r="N4" s="360"/>
      <c r="O4" s="360"/>
      <c r="P4" s="360"/>
      <c r="Q4" s="360"/>
      <c r="R4" s="360"/>
      <c r="S4" s="360"/>
    </row>
  </sheetData>
  <mergeCells count="1">
    <mergeCell ref="E2:W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D1:L15"/>
  <sheetViews>
    <sheetView workbookViewId="0"/>
  </sheetViews>
  <sheetFormatPr defaultColWidth="9.140625" defaultRowHeight="15" x14ac:dyDescent="0.25"/>
  <cols>
    <col min="1" max="1" width="3.28515625" style="2" customWidth="1"/>
    <col min="2" max="4" width="9.140625" style="2"/>
    <col min="5" max="5" width="17.85546875" style="2" customWidth="1"/>
    <col min="6" max="6" width="15.140625" style="2" customWidth="1"/>
    <col min="7" max="7" width="15.7109375" style="2" customWidth="1"/>
    <col min="8" max="8" width="16.7109375" style="2" customWidth="1"/>
    <col min="9" max="9" width="19.140625" style="2" customWidth="1"/>
    <col min="10" max="10" width="20.140625" style="2" customWidth="1"/>
    <col min="11" max="16384" width="9.140625" style="2"/>
  </cols>
  <sheetData>
    <row r="1" spans="4:12" s="1" customFormat="1" ht="25.5" customHeight="1" x14ac:dyDescent="0.25"/>
    <row r="2" spans="4:12" s="3" customFormat="1" ht="45" customHeight="1" x14ac:dyDescent="0.7">
      <c r="E2" s="326"/>
      <c r="F2" s="326"/>
      <c r="G2" s="695" t="s">
        <v>7</v>
      </c>
      <c r="H2" s="695"/>
      <c r="I2" s="695"/>
      <c r="J2" s="695"/>
      <c r="K2" s="695"/>
      <c r="L2" s="695"/>
    </row>
    <row r="3" spans="4:12" x14ac:dyDescent="0.25">
      <c r="H3" s="331" t="s">
        <v>203</v>
      </c>
    </row>
    <row r="4" spans="4:12" ht="15.75" thickBot="1" x14ac:dyDescent="0.3"/>
    <row r="5" spans="4:12" ht="51.75" customHeight="1" thickTop="1" x14ac:dyDescent="0.3">
      <c r="H5" s="5" t="s">
        <v>1</v>
      </c>
      <c r="I5" s="6" t="s">
        <v>2</v>
      </c>
      <c r="J5" s="21" t="s">
        <v>52</v>
      </c>
    </row>
    <row r="6" spans="4:12" ht="15" customHeight="1" x14ac:dyDescent="0.25">
      <c r="E6" s="17"/>
      <c r="H6" s="4" t="s">
        <v>261</v>
      </c>
      <c r="I6" s="26">
        <v>290</v>
      </c>
      <c r="J6" s="698">
        <v>48</v>
      </c>
    </row>
    <row r="7" spans="4:12" ht="15" customHeight="1" x14ac:dyDescent="0.25">
      <c r="H7" s="4" t="s">
        <v>262</v>
      </c>
      <c r="I7" s="26">
        <v>560</v>
      </c>
      <c r="J7" s="699"/>
    </row>
    <row r="8" spans="4:12" ht="15" customHeight="1" x14ac:dyDescent="0.25">
      <c r="H8" s="4" t="s">
        <v>263</v>
      </c>
      <c r="I8" s="26">
        <v>582</v>
      </c>
      <c r="J8" s="699"/>
    </row>
    <row r="9" spans="4:12" ht="15" customHeight="1" x14ac:dyDescent="0.25">
      <c r="H9" s="4" t="s">
        <v>264</v>
      </c>
      <c r="I9" s="26">
        <v>570</v>
      </c>
      <c r="J9" s="699"/>
    </row>
    <row r="10" spans="4:12" ht="15.75" customHeight="1" thickBot="1" x14ac:dyDescent="0.3">
      <c r="H10" s="22" t="s">
        <v>265</v>
      </c>
      <c r="I10" s="27">
        <v>573</v>
      </c>
      <c r="J10" s="700"/>
    </row>
    <row r="11" spans="4:12" ht="19.5" thickTop="1" x14ac:dyDescent="0.3">
      <c r="H11" s="9" t="s">
        <v>6</v>
      </c>
      <c r="I11" s="20">
        <f>SUM(I6:I10)</f>
        <v>2575</v>
      </c>
    </row>
    <row r="12" spans="4:12" ht="18.75" x14ac:dyDescent="0.3">
      <c r="E12" s="17"/>
      <c r="G12" s="12"/>
      <c r="I12" s="19"/>
    </row>
    <row r="13" spans="4:12" x14ac:dyDescent="0.25">
      <c r="D13" s="2" t="s">
        <v>82</v>
      </c>
      <c r="E13" s="17"/>
      <c r="I13" s="7"/>
    </row>
    <row r="14" spans="4:12" x14ac:dyDescent="0.25">
      <c r="D14" s="153"/>
    </row>
    <row r="15" spans="4:12" x14ac:dyDescent="0.25">
      <c r="D15" s="2" t="s">
        <v>78</v>
      </c>
    </row>
  </sheetData>
  <mergeCells count="2">
    <mergeCell ref="G2:L2"/>
    <mergeCell ref="J6:J10"/>
  </mergeCells>
  <dataValidations count="1">
    <dataValidation allowBlank="1" showInputMessage="1" showErrorMessage="1" promptTitle="Age Cohort Population" prompt="Number of children (6 - 60 months) residing in current population using annual age cohorts." sqref="I6"/>
  </dataValidations>
  <pageMargins left="0.7" right="0.7" top="0.75" bottom="0.75" header="0.3" footer="0.3"/>
  <pageSetup orientation="portrait" horizontalDpi="200" verticalDpi="200"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B1:P46"/>
  <sheetViews>
    <sheetView topLeftCell="A3" workbookViewId="0">
      <selection activeCell="L41" sqref="L41"/>
    </sheetView>
  </sheetViews>
  <sheetFormatPr defaultRowHeight="15" x14ac:dyDescent="0.25"/>
  <cols>
    <col min="2" max="2" width="22.5703125" customWidth="1"/>
    <col min="3" max="4" width="14.85546875" customWidth="1"/>
    <col min="5" max="5" width="18.42578125" customWidth="1"/>
    <col min="6" max="6" width="16.140625" customWidth="1"/>
    <col min="7" max="7" width="17.85546875" customWidth="1"/>
    <col min="8" max="8" width="14" customWidth="1"/>
    <col min="9" max="9" width="11.85546875" customWidth="1"/>
    <col min="11" max="11" width="12.140625" customWidth="1"/>
    <col min="12" max="12" width="9.7109375" customWidth="1"/>
  </cols>
  <sheetData>
    <row r="1" spans="2:12" x14ac:dyDescent="0.25">
      <c r="H1" t="s">
        <v>202</v>
      </c>
      <c r="I1" s="82">
        <f>Summary!I6</f>
        <v>10</v>
      </c>
    </row>
    <row r="3" spans="2:12" x14ac:dyDescent="0.25">
      <c r="B3" s="199" t="s">
        <v>96</v>
      </c>
      <c r="C3" s="199" t="s">
        <v>97</v>
      </c>
      <c r="D3" s="199" t="s">
        <v>98</v>
      </c>
      <c r="E3" s="199" t="s">
        <v>99</v>
      </c>
      <c r="F3" s="199" t="s">
        <v>100</v>
      </c>
      <c r="H3" t="s">
        <v>179</v>
      </c>
      <c r="I3" s="973" t="s">
        <v>180</v>
      </c>
      <c r="J3" s="973"/>
      <c r="K3" s="973" t="s">
        <v>374</v>
      </c>
      <c r="L3" s="973"/>
    </row>
    <row r="4" spans="2:12" x14ac:dyDescent="0.25">
      <c r="B4" s="199" t="s">
        <v>0</v>
      </c>
      <c r="C4" s="201">
        <f>Discounting!N9</f>
        <v>136.38802330097087</v>
      </c>
      <c r="D4" s="201">
        <f>Discounting!P9</f>
        <v>258.24169320388353</v>
      </c>
      <c r="E4" s="200">
        <f>Discounting!R9</f>
        <v>15.102112621359224</v>
      </c>
      <c r="F4" s="200">
        <f>Discounting!T9</f>
        <v>28.594850485436897</v>
      </c>
      <c r="H4" s="83">
        <f>Summary!O11</f>
        <v>154609.92641656191</v>
      </c>
      <c r="I4" s="139">
        <f>Prevention!F10</f>
        <v>1163.4175032641897</v>
      </c>
      <c r="J4" s="139">
        <f>Prevention!I10</f>
        <v>1566.1389467017939</v>
      </c>
      <c r="K4" s="139">
        <f>Prevention!F18</f>
        <v>128.8240839240265</v>
      </c>
      <c r="L4" s="139">
        <f>Prevention!I18</f>
        <v>173.41703605157417</v>
      </c>
    </row>
    <row r="5" spans="2:12" x14ac:dyDescent="0.25">
      <c r="B5" s="199" t="s">
        <v>3</v>
      </c>
      <c r="C5" s="201">
        <f>Discounting!N10</f>
        <v>40.090873786407769</v>
      </c>
      <c r="D5" s="201">
        <f>Discounting!P10</f>
        <v>412.93599999999998</v>
      </c>
      <c r="E5" s="200">
        <f>Discounting!R10</f>
        <v>4.4392233009708741</v>
      </c>
      <c r="F5" s="200">
        <f>Discounting!T10</f>
        <v>45.723999999999997</v>
      </c>
      <c r="H5" s="83">
        <f>Summary!O12</f>
        <v>105945.11923275581</v>
      </c>
      <c r="I5" s="139">
        <f>Prevention!F11</f>
        <v>341.9832853016373</v>
      </c>
      <c r="J5" s="139">
        <f>Prevention!I11</f>
        <v>375.69994723278478</v>
      </c>
      <c r="K5" s="139">
        <f>Prevention!F19</f>
        <v>37.867475195023118</v>
      </c>
      <c r="L5" s="139">
        <f>Prevention!I19</f>
        <v>41.600888242419757</v>
      </c>
    </row>
    <row r="6" spans="2:12" x14ac:dyDescent="0.25">
      <c r="B6" s="199" t="s">
        <v>101</v>
      </c>
      <c r="C6" s="201">
        <f>Discounting!N11</f>
        <v>133.24851262135923</v>
      </c>
      <c r="D6" s="201">
        <f>Discounting!P11</f>
        <v>261.71999999999997</v>
      </c>
      <c r="E6" s="200">
        <f>Discounting!R11</f>
        <v>14.754477669902911</v>
      </c>
      <c r="F6" s="200">
        <f>Discounting!T11</f>
        <v>28.98</v>
      </c>
      <c r="H6" s="83">
        <f>Summary!O13</f>
        <v>536747.27527988527</v>
      </c>
      <c r="I6" s="139">
        <f>Prevention!F12</f>
        <v>1136.6368403588783</v>
      </c>
      <c r="J6" s="139">
        <f>Prevention!I12</f>
        <v>1515.5157871451713</v>
      </c>
      <c r="K6" s="139">
        <f>Prevention!F20</f>
        <v>125.85868727495146</v>
      </c>
      <c r="L6" s="139">
        <f>Prevention!I20</f>
        <v>167.81158303326862</v>
      </c>
    </row>
    <row r="7" spans="2:12" x14ac:dyDescent="0.25">
      <c r="B7" s="199" t="s">
        <v>48</v>
      </c>
      <c r="C7" s="201">
        <f>Discounting!N12</f>
        <v>167.93700000000004</v>
      </c>
      <c r="D7" s="201">
        <f>Discounting!P12</f>
        <v>305.33999999999997</v>
      </c>
      <c r="E7" s="200">
        <f>Discounting!R12</f>
        <v>18.595500000000001</v>
      </c>
      <c r="F7" s="200">
        <f>Discounting!T12</f>
        <v>33.81</v>
      </c>
      <c r="H7" s="83">
        <f>Summary!O14</f>
        <v>531559.5897736859</v>
      </c>
      <c r="I7" s="139">
        <f>Prevention!F13</f>
        <v>1432.5366737996228</v>
      </c>
      <c r="J7" s="139">
        <f>Prevention!I13</f>
        <v>1910.0488983994971</v>
      </c>
      <c r="K7" s="139">
        <f>Prevention!F21</f>
        <v>158.62338685126494</v>
      </c>
      <c r="L7" s="139">
        <f>Prevention!I21</f>
        <v>211.49784913501998</v>
      </c>
    </row>
    <row r="8" spans="2:12" x14ac:dyDescent="0.25">
      <c r="B8" s="199" t="s">
        <v>8</v>
      </c>
      <c r="C8" s="201">
        <f>Discounting!N13</f>
        <v>20.124489320388353</v>
      </c>
      <c r="D8" s="201">
        <f>Discounting!P13</f>
        <v>249.07161165048544</v>
      </c>
      <c r="E8" s="200">
        <f>Discounting!R13</f>
        <v>2.2283650485436897</v>
      </c>
      <c r="F8" s="200">
        <f>Discounting!T13</f>
        <v>27.579456310679614</v>
      </c>
      <c r="H8" s="83">
        <f>Summary!O15</f>
        <v>92559.183733173704</v>
      </c>
      <c r="I8" s="139">
        <f>Prevention!F14</f>
        <v>171.66597588944163</v>
      </c>
      <c r="J8" s="139">
        <f>Prevention!I14</f>
        <v>249.69596493009692</v>
      </c>
      <c r="K8" s="139">
        <f>Prevention!F22</f>
        <v>19.00840585845949</v>
      </c>
      <c r="L8" s="139">
        <f>Prevention!I22</f>
        <v>27.648590339577439</v>
      </c>
    </row>
    <row r="38" spans="9:16" ht="15.75" x14ac:dyDescent="0.25">
      <c r="I38" s="965" t="s">
        <v>452</v>
      </c>
      <c r="J38" s="965"/>
      <c r="K38" s="965"/>
      <c r="L38" s="965"/>
      <c r="M38" s="965"/>
      <c r="N38" s="965"/>
      <c r="O38" s="965"/>
      <c r="P38" s="965"/>
    </row>
    <row r="39" spans="9:16" x14ac:dyDescent="0.25">
      <c r="I39" s="966" t="s">
        <v>87</v>
      </c>
      <c r="J39" s="966"/>
      <c r="K39" s="966" t="s">
        <v>88</v>
      </c>
      <c r="L39" s="966"/>
      <c r="M39" s="966" t="s">
        <v>65</v>
      </c>
      <c r="N39" s="966"/>
      <c r="O39" s="967" t="s">
        <v>66</v>
      </c>
      <c r="P39" s="967"/>
    </row>
    <row r="40" spans="9:16" ht="15.75" thickBot="1" x14ac:dyDescent="0.3">
      <c r="I40" s="642" t="s">
        <v>393</v>
      </c>
      <c r="J40" s="642" t="s">
        <v>394</v>
      </c>
      <c r="K40" s="642" t="s">
        <v>393</v>
      </c>
      <c r="L40" s="642" t="s">
        <v>394</v>
      </c>
      <c r="M40" s="642" t="s">
        <v>393</v>
      </c>
      <c r="N40" s="642" t="s">
        <v>394</v>
      </c>
      <c r="O40" s="642" t="s">
        <v>393</v>
      </c>
      <c r="P40" s="642" t="s">
        <v>394</v>
      </c>
    </row>
    <row r="41" spans="9:16" ht="16.5" thickTop="1" thickBot="1" x14ac:dyDescent="0.3">
      <c r="I41" s="240">
        <f>Discounting!N9</f>
        <v>136.38802330097087</v>
      </c>
      <c r="J41" s="240">
        <f>Discounting_Ideal!O9</f>
        <v>183.59926213592232</v>
      </c>
      <c r="K41" s="240">
        <f>Discounting!P9</f>
        <v>258.24169320388353</v>
      </c>
      <c r="L41" s="240">
        <f>Discounting_Ideal!Q9</f>
        <v>347.63304854368931</v>
      </c>
      <c r="M41" s="240">
        <f>Discounting!R9</f>
        <v>15.102112621359224</v>
      </c>
      <c r="N41" s="240">
        <f>Discounting_Ideal!S9</f>
        <v>20.329766990291262</v>
      </c>
      <c r="O41" s="377">
        <f>Discounting!T9</f>
        <v>28.594850485436897</v>
      </c>
      <c r="P41" s="377">
        <f>Discounting_Ideal!U9</f>
        <v>38.493067961165046</v>
      </c>
    </row>
    <row r="42" spans="9:16" ht="16.5" thickTop="1" thickBot="1" x14ac:dyDescent="0.3">
      <c r="I42" s="240">
        <f>Discounting!N10</f>
        <v>40.090873786407769</v>
      </c>
      <c r="J42" s="240">
        <f>Discounting_Ideal!O10</f>
        <v>44.043495145631077</v>
      </c>
      <c r="K42" s="240">
        <f>Discounting!P10</f>
        <v>412.93599999999998</v>
      </c>
      <c r="L42" s="240">
        <f>Discounting_Ideal!Q10</f>
        <v>453.64800000000002</v>
      </c>
      <c r="M42" s="240">
        <f>Discounting!R10</f>
        <v>4.4392233009708741</v>
      </c>
      <c r="N42" s="240">
        <f>Discounting_Ideal!S10</f>
        <v>4.8768932038834958</v>
      </c>
      <c r="O42" s="377">
        <f>Discounting!T10</f>
        <v>45.723999999999997</v>
      </c>
      <c r="P42" s="377">
        <f>Discounting_Ideal!U10</f>
        <v>50.231999999999999</v>
      </c>
    </row>
    <row r="43" spans="9:16" ht="16.5" thickTop="1" thickBot="1" x14ac:dyDescent="0.3">
      <c r="I43" s="240">
        <f>Discounting!N11</f>
        <v>133.24851262135923</v>
      </c>
      <c r="J43" s="240">
        <f>Discounting_Ideal!O11</f>
        <v>177.66468349514565</v>
      </c>
      <c r="K43" s="240">
        <f>Discounting!P11</f>
        <v>261.71999999999997</v>
      </c>
      <c r="L43" s="240">
        <f>Discounting_Ideal!Q11</f>
        <v>348.96</v>
      </c>
      <c r="M43" s="240">
        <f>Discounting!R11</f>
        <v>14.754477669902911</v>
      </c>
      <c r="N43" s="240">
        <f>Discounting_Ideal!S11</f>
        <v>19.672636893203883</v>
      </c>
      <c r="O43" s="377">
        <f>Discounting!T11</f>
        <v>28.98</v>
      </c>
      <c r="P43" s="377">
        <f>Discounting_Ideal!U11</f>
        <v>38.64</v>
      </c>
    </row>
    <row r="44" spans="9:16" ht="16.5" thickTop="1" thickBot="1" x14ac:dyDescent="0.3">
      <c r="I44" s="240">
        <f>Discounting!N12</f>
        <v>167.93700000000004</v>
      </c>
      <c r="J44" s="240">
        <f>Discounting_Ideal!O12</f>
        <v>223.91600000000005</v>
      </c>
      <c r="K44" s="240">
        <f>Discounting!P12</f>
        <v>305.33999999999997</v>
      </c>
      <c r="L44" s="240">
        <f>Discounting_Ideal!Q12</f>
        <v>407.12000000000006</v>
      </c>
      <c r="M44" s="240">
        <f>Discounting!R12</f>
        <v>18.595500000000001</v>
      </c>
      <c r="N44" s="240">
        <f>Discounting_Ideal!S12</f>
        <v>24.794000000000004</v>
      </c>
      <c r="O44" s="377">
        <f>Discounting!T12</f>
        <v>33.81</v>
      </c>
      <c r="P44" s="377">
        <f>Discounting_Ideal!U12</f>
        <v>45.080000000000005</v>
      </c>
    </row>
    <row r="45" spans="9:16" ht="16.5" thickTop="1" thickBot="1" x14ac:dyDescent="0.3">
      <c r="I45" s="240">
        <f>Discounting!N13</f>
        <v>20.124489320388353</v>
      </c>
      <c r="J45" s="240">
        <f>Discounting_Ideal!O13</f>
        <v>29.271984466019422</v>
      </c>
      <c r="K45" s="240">
        <f>Discounting!P13</f>
        <v>249.07161165048544</v>
      </c>
      <c r="L45" s="240">
        <f>Discounting_Ideal!Q13</f>
        <v>362.2859805825243</v>
      </c>
      <c r="M45" s="240">
        <f>Discounting!R13</f>
        <v>2.2283650485436897</v>
      </c>
      <c r="N45" s="240">
        <f>Discounting_Ideal!S13</f>
        <v>3.2412582524271847</v>
      </c>
      <c r="O45" s="377">
        <f>Discounting!T13</f>
        <v>27.579456310679614</v>
      </c>
      <c r="P45" s="377">
        <f>Discounting_Ideal!U13</f>
        <v>40.115572815533987</v>
      </c>
    </row>
    <row r="46" spans="9:16" ht="15.75" thickTop="1" x14ac:dyDescent="0.25"/>
  </sheetData>
  <mergeCells count="7">
    <mergeCell ref="I3:J3"/>
    <mergeCell ref="K3:L3"/>
    <mergeCell ref="I38:P38"/>
    <mergeCell ref="I39:J39"/>
    <mergeCell ref="K39:L39"/>
    <mergeCell ref="M39:N39"/>
    <mergeCell ref="O39:P39"/>
  </mergeCell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C6:E14"/>
  <sheetViews>
    <sheetView workbookViewId="0">
      <selection activeCell="J31" sqref="J31"/>
    </sheetView>
  </sheetViews>
  <sheetFormatPr defaultRowHeight="15" x14ac:dyDescent="0.25"/>
  <cols>
    <col min="3" max="3" width="12.85546875" bestFit="1" customWidth="1"/>
    <col min="4" max="4" width="33.140625" bestFit="1" customWidth="1"/>
    <col min="5" max="5" width="26.7109375" bestFit="1" customWidth="1"/>
  </cols>
  <sheetData>
    <row r="6" spans="3:5" ht="15.75" thickBot="1" x14ac:dyDescent="0.3"/>
    <row r="7" spans="3:5" x14ac:dyDescent="0.25">
      <c r="C7" s="2"/>
      <c r="D7" s="468" t="s">
        <v>251</v>
      </c>
      <c r="E7" s="468" t="s">
        <v>258</v>
      </c>
    </row>
    <row r="8" spans="3:5" ht="15.75" thickBot="1" x14ac:dyDescent="0.3">
      <c r="C8" s="2"/>
      <c r="D8" s="470" t="s">
        <v>252</v>
      </c>
      <c r="E8" s="476" t="s">
        <v>259</v>
      </c>
    </row>
    <row r="9" spans="3:5" x14ac:dyDescent="0.25">
      <c r="C9" s="471" t="s">
        <v>253</v>
      </c>
      <c r="D9" s="469">
        <v>47</v>
      </c>
      <c r="E9" s="469">
        <v>1.4</v>
      </c>
    </row>
    <row r="10" spans="3:5" x14ac:dyDescent="0.25">
      <c r="C10" s="472" t="s">
        <v>254</v>
      </c>
      <c r="D10" s="469">
        <v>256</v>
      </c>
      <c r="E10" s="469">
        <v>2.0499999999999998</v>
      </c>
    </row>
    <row r="11" spans="3:5" x14ac:dyDescent="0.25">
      <c r="C11" s="472" t="s">
        <v>255</v>
      </c>
      <c r="D11" s="469">
        <v>393</v>
      </c>
      <c r="E11" s="469">
        <v>2.61</v>
      </c>
    </row>
    <row r="12" spans="3:5" x14ac:dyDescent="0.25">
      <c r="C12" s="472" t="s">
        <v>256</v>
      </c>
      <c r="D12" s="469">
        <v>400</v>
      </c>
      <c r="E12" s="469">
        <v>2.87</v>
      </c>
    </row>
    <row r="13" spans="3:5" ht="15.75" thickBot="1" x14ac:dyDescent="0.3">
      <c r="C13" s="473" t="s">
        <v>257</v>
      </c>
      <c r="D13" s="470">
        <v>440</v>
      </c>
      <c r="E13" s="470">
        <v>2.89</v>
      </c>
    </row>
    <row r="14" spans="3:5" ht="18" thickBot="1" x14ac:dyDescent="0.3">
      <c r="C14" s="474" t="s">
        <v>260</v>
      </c>
      <c r="D14" s="475">
        <f>SUM(D9:D13)</f>
        <v>1536</v>
      </c>
      <c r="E14" s="475">
        <v>2.63</v>
      </c>
    </row>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M11"/>
  <sheetViews>
    <sheetView workbookViewId="0">
      <selection activeCell="T22" sqref="T22"/>
    </sheetView>
  </sheetViews>
  <sheetFormatPr defaultRowHeight="15" x14ac:dyDescent="0.25"/>
  <cols>
    <col min="1" max="1" width="12.28515625" customWidth="1"/>
  </cols>
  <sheetData>
    <row r="1" spans="1:13" x14ac:dyDescent="0.25">
      <c r="K1" s="635">
        <v>7.0000000000000007E-2</v>
      </c>
      <c r="L1" t="s">
        <v>275</v>
      </c>
      <c r="M1" s="983" t="s">
        <v>463</v>
      </c>
    </row>
    <row r="2" spans="1:13" x14ac:dyDescent="0.25">
      <c r="K2" s="635">
        <f>161/2575</f>
        <v>6.2524271844660195E-2</v>
      </c>
      <c r="L2" t="s">
        <v>276</v>
      </c>
      <c r="M2" s="983"/>
    </row>
    <row r="5" spans="1:13" x14ac:dyDescent="0.25">
      <c r="B5" s="973" t="s">
        <v>275</v>
      </c>
      <c r="C5" s="973"/>
      <c r="D5" s="973" t="s">
        <v>276</v>
      </c>
      <c r="E5" s="973"/>
    </row>
    <row r="6" spans="1:13" x14ac:dyDescent="0.25">
      <c r="B6" t="s">
        <v>277</v>
      </c>
      <c r="C6" t="s">
        <v>278</v>
      </c>
      <c r="D6" t="s">
        <v>277</v>
      </c>
      <c r="E6" t="s">
        <v>278</v>
      </c>
    </row>
    <row r="7" spans="1:13" ht="30" x14ac:dyDescent="0.25">
      <c r="A7" s="86" t="s">
        <v>0</v>
      </c>
      <c r="B7" s="82">
        <f>(Summary!C11*$K$1)*Discounting!$L$3</f>
        <v>502.94478723404256</v>
      </c>
      <c r="C7" s="82">
        <f>(Summary!D11*$K$1)*Discounting!L3</f>
        <v>952.29265957446819</v>
      </c>
      <c r="D7" s="82">
        <f>Summary!C11*$K$2</f>
        <v>58.085048543689318</v>
      </c>
      <c r="E7" s="82">
        <f>Summary!D11*$K$2</f>
        <v>109.98019417475729</v>
      </c>
    </row>
    <row r="8" spans="1:13" ht="30" x14ac:dyDescent="0.25">
      <c r="A8" s="86" t="s">
        <v>3</v>
      </c>
      <c r="B8" s="82">
        <f>(Summary!C12*$K$1)*Discounting!$L$3</f>
        <v>135.34574468085106</v>
      </c>
      <c r="C8" s="82">
        <f>(Summary!D12*$K$1)*Discounting!L4</f>
        <v>11.270000000000001</v>
      </c>
      <c r="D8" s="82">
        <f>Summary!C12*$K$2</f>
        <v>15.63106796116505</v>
      </c>
      <c r="E8" s="82">
        <f>Summary!D12*$K$2</f>
        <v>161</v>
      </c>
    </row>
    <row r="9" spans="1:13" ht="30" x14ac:dyDescent="0.25">
      <c r="A9" s="86" t="s">
        <v>54</v>
      </c>
      <c r="B9" s="82">
        <f>(Summary!C13*$K$1)*Discounting!$L$3</f>
        <v>709.75308510638308</v>
      </c>
      <c r="C9" s="82">
        <f>(Summary!D13*$K$1)*Discounting!L5</f>
        <v>0</v>
      </c>
      <c r="D9" s="82">
        <f>Summary!C13*$K$2</f>
        <v>81.969320388349516</v>
      </c>
      <c r="E9" s="82">
        <f>Summary!D13*$K$2</f>
        <v>161</v>
      </c>
    </row>
    <row r="10" spans="1:13" ht="30" x14ac:dyDescent="0.25">
      <c r="A10" s="86" t="s">
        <v>48</v>
      </c>
      <c r="B10" s="82">
        <f>(Summary!C14*$K$1)*Discounting!$L$3</f>
        <v>766.73364361702158</v>
      </c>
      <c r="C10" s="82">
        <f>(Summary!D14*$K$1)*Discounting!L6</f>
        <v>0</v>
      </c>
      <c r="D10" s="82">
        <f>Summary!C14*$K$2</f>
        <v>88.550000000000011</v>
      </c>
      <c r="E10" s="82">
        <f>Summary!D14*$K$2</f>
        <v>161</v>
      </c>
    </row>
    <row r="11" spans="1:13" x14ac:dyDescent="0.25">
      <c r="A11" s="86" t="s">
        <v>8</v>
      </c>
      <c r="B11" s="82">
        <f>(Summary!C15*$K$1)*Discounting!$L$3</f>
        <v>87.704042553191499</v>
      </c>
      <c r="C11" s="82">
        <f>(Summary!D15*$K$1)*Discounting!L7</f>
        <v>0</v>
      </c>
      <c r="D11" s="82">
        <f>Summary!C15*$K$2</f>
        <v>10.128932038834952</v>
      </c>
      <c r="E11" s="82">
        <f>Summary!D15*$K$2</f>
        <v>125.3611650485437</v>
      </c>
    </row>
  </sheetData>
  <mergeCells count="3">
    <mergeCell ref="B5:C5"/>
    <mergeCell ref="D5:E5"/>
    <mergeCell ref="M1:M2"/>
  </mergeCell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L11"/>
  <sheetViews>
    <sheetView workbookViewId="0">
      <selection activeCell="V20" sqref="V20"/>
    </sheetView>
  </sheetViews>
  <sheetFormatPr defaultRowHeight="15" x14ac:dyDescent="0.25"/>
  <cols>
    <col min="1" max="1" width="12.28515625" customWidth="1"/>
  </cols>
  <sheetData>
    <row r="1" spans="1:12" x14ac:dyDescent="0.25">
      <c r="K1">
        <v>1</v>
      </c>
      <c r="L1" t="s">
        <v>275</v>
      </c>
    </row>
    <row r="2" spans="1:12" x14ac:dyDescent="0.25">
      <c r="K2">
        <f>161/2575</f>
        <v>6.2524271844660195E-2</v>
      </c>
      <c r="L2" t="s">
        <v>276</v>
      </c>
    </row>
    <row r="5" spans="1:12" x14ac:dyDescent="0.25">
      <c r="B5" s="973" t="s">
        <v>275</v>
      </c>
      <c r="C5" s="973"/>
      <c r="D5" s="973" t="s">
        <v>276</v>
      </c>
      <c r="E5" s="973"/>
    </row>
    <row r="6" spans="1:12" x14ac:dyDescent="0.25">
      <c r="B6" t="s">
        <v>277</v>
      </c>
      <c r="C6" t="s">
        <v>278</v>
      </c>
      <c r="D6" t="s">
        <v>277</v>
      </c>
      <c r="E6" t="s">
        <v>278</v>
      </c>
    </row>
    <row r="7" spans="1:12" ht="30" x14ac:dyDescent="0.25">
      <c r="A7" s="86" t="s">
        <v>0</v>
      </c>
      <c r="B7" s="82">
        <f>(Summary!C11*$K$1)*10</f>
        <v>9290</v>
      </c>
      <c r="C7" s="82">
        <f>(Summary!D11*$K$1)*10</f>
        <v>17590</v>
      </c>
      <c r="D7" s="82">
        <f>(Summary!C11*$K$2)*10</f>
        <v>580.85048543689322</v>
      </c>
      <c r="E7" s="82">
        <f>(Summary!D11*$K$2)*10</f>
        <v>1099.801941747573</v>
      </c>
    </row>
    <row r="8" spans="1:12" ht="30" x14ac:dyDescent="0.25">
      <c r="A8" s="86" t="s">
        <v>3</v>
      </c>
      <c r="B8" s="82">
        <f>(Summary!C12*$K$1)*10</f>
        <v>2500</v>
      </c>
      <c r="C8" s="82">
        <f>(Summary!D12*$K$1)*10</f>
        <v>25750</v>
      </c>
      <c r="D8" s="82">
        <f>(Summary!C12*$K$2)*10</f>
        <v>156.3106796116505</v>
      </c>
      <c r="E8" s="82">
        <f>(Summary!D12*$K$2)*10</f>
        <v>1610</v>
      </c>
    </row>
    <row r="9" spans="1:12" ht="30" x14ac:dyDescent="0.25">
      <c r="A9" s="86" t="s">
        <v>54</v>
      </c>
      <c r="B9" s="82">
        <f>(Summary!C13*$K$1)*10</f>
        <v>13110</v>
      </c>
      <c r="C9" s="82">
        <f>(Summary!D13*$K$1)*10</f>
        <v>25750</v>
      </c>
      <c r="D9" s="82">
        <f>(Summary!C13*$K$2)*10</f>
        <v>819.69320388349513</v>
      </c>
      <c r="E9" s="82">
        <f>(Summary!D13*$K$2)*10</f>
        <v>1610</v>
      </c>
    </row>
    <row r="10" spans="1:12" ht="30" x14ac:dyDescent="0.25">
      <c r="A10" s="86" t="s">
        <v>48</v>
      </c>
      <c r="B10" s="82">
        <f>(Summary!C14*$K$1)*10</f>
        <v>14162.500000000002</v>
      </c>
      <c r="C10" s="82">
        <f>(Summary!D14*$K$1)*10</f>
        <v>25750</v>
      </c>
      <c r="D10" s="82">
        <f>(Summary!C14*$K$2)*10</f>
        <v>885.50000000000011</v>
      </c>
      <c r="E10" s="82">
        <f>(Summary!D14*$K$2)*10</f>
        <v>1610</v>
      </c>
    </row>
    <row r="11" spans="1:12" x14ac:dyDescent="0.25">
      <c r="A11" s="86" t="s">
        <v>8</v>
      </c>
      <c r="B11" s="82">
        <f>(Summary!C15*$K$1)*10</f>
        <v>1620</v>
      </c>
      <c r="C11" s="82">
        <f>(Summary!D15*$K$1)*10</f>
        <v>20050</v>
      </c>
      <c r="D11" s="82">
        <f>(Summary!C15*$K$2)*10</f>
        <v>101.28932038834952</v>
      </c>
      <c r="E11" s="82">
        <f>(Summary!D15*$K$2)*10</f>
        <v>1253.6116504854369</v>
      </c>
    </row>
  </sheetData>
  <mergeCells count="2">
    <mergeCell ref="B5:C5"/>
    <mergeCell ref="D5:E5"/>
  </mergeCell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10"/>
  <sheetViews>
    <sheetView workbookViewId="0">
      <selection activeCell="D6" sqref="D6"/>
    </sheetView>
  </sheetViews>
  <sheetFormatPr defaultRowHeight="15" x14ac:dyDescent="0.25"/>
  <cols>
    <col min="5" max="5" width="10.5703125" customWidth="1"/>
    <col min="8" max="8" width="12.28515625" customWidth="1"/>
  </cols>
  <sheetData>
    <row r="3" spans="1:9" x14ac:dyDescent="0.25">
      <c r="C3" s="973" t="s">
        <v>449</v>
      </c>
      <c r="D3" s="973"/>
      <c r="E3" s="973"/>
      <c r="F3" s="973" t="s">
        <v>450</v>
      </c>
      <c r="G3" s="973"/>
      <c r="H3" s="973"/>
      <c r="I3" s="973"/>
    </row>
    <row r="4" spans="1:9" x14ac:dyDescent="0.25">
      <c r="A4" t="s">
        <v>444</v>
      </c>
      <c r="C4" s="973" t="s">
        <v>445</v>
      </c>
      <c r="D4" s="973"/>
      <c r="E4" s="643" t="s">
        <v>451</v>
      </c>
      <c r="F4" s="973" t="s">
        <v>445</v>
      </c>
      <c r="G4" s="973"/>
      <c r="H4" s="643" t="s">
        <v>451</v>
      </c>
      <c r="I4" s="643"/>
    </row>
    <row r="5" spans="1:9" x14ac:dyDescent="0.25">
      <c r="C5" t="s">
        <v>446</v>
      </c>
      <c r="D5" t="s">
        <v>447</v>
      </c>
      <c r="F5" t="s">
        <v>446</v>
      </c>
      <c r="G5" t="s">
        <v>447</v>
      </c>
      <c r="H5" t="s">
        <v>446</v>
      </c>
    </row>
    <row r="6" spans="1:9" x14ac:dyDescent="0.25">
      <c r="A6" t="s">
        <v>0</v>
      </c>
      <c r="C6" s="82">
        <f>'Total Discounting'!S28</f>
        <v>2159.7484502085226</v>
      </c>
      <c r="D6" s="139">
        <f>'Total Discounting'!U28</f>
        <v>2907.3536829730115</v>
      </c>
      <c r="E6" s="644">
        <f>Summary!O11</f>
        <v>154609.92641656191</v>
      </c>
      <c r="F6" s="82">
        <f>'Total Discounting'!W28</f>
        <v>4089.3407146574732</v>
      </c>
      <c r="G6" s="82">
        <f>'Total Discounting'!Y28</f>
        <v>5504.8817312696738</v>
      </c>
      <c r="H6" s="644">
        <f>Summary!P11</f>
        <v>797303.09370860062</v>
      </c>
    </row>
    <row r="7" spans="1:9" x14ac:dyDescent="0.25">
      <c r="A7" t="s">
        <v>3</v>
      </c>
      <c r="C7" s="82">
        <f>'Total Discounting'!S41</f>
        <v>634.85194984186899</v>
      </c>
      <c r="D7" s="82">
        <f>'Total Discounting'!U41</f>
        <v>697.44298715022273</v>
      </c>
      <c r="E7" s="644">
        <f>Summary!O12</f>
        <v>105945.11923275581</v>
      </c>
      <c r="F7" s="82">
        <f>'Total Discounting'!W41</f>
        <v>6538.9750833712515</v>
      </c>
      <c r="G7" s="82">
        <f>'Total Discounting'!Y41</f>
        <v>7183.6627676472935</v>
      </c>
      <c r="H7" s="644">
        <f>Summary!P12</f>
        <v>1935829.2186209143</v>
      </c>
    </row>
    <row r="8" spans="1:9" x14ac:dyDescent="0.25">
      <c r="A8" t="s">
        <v>54</v>
      </c>
      <c r="C8" s="139">
        <f>'Total Discounting'!S54</f>
        <v>2110.0332834321734</v>
      </c>
      <c r="D8" s="139">
        <f>'Total Discounting'!U54</f>
        <v>2813.3777112428984</v>
      </c>
      <c r="E8" s="644">
        <f>Summary!O13</f>
        <v>536747.27527988527</v>
      </c>
      <c r="F8" s="82">
        <f>'Total Discounting'!W54</f>
        <v>4144.4208274888224</v>
      </c>
      <c r="G8" s="82">
        <f>'Total Discounting'!Y54</f>
        <v>5525.8944366517626</v>
      </c>
      <c r="H8" s="644">
        <f>Summary!P13</f>
        <v>1252020.5213677725</v>
      </c>
    </row>
    <row r="9" spans="1:9" x14ac:dyDescent="0.25">
      <c r="A9" t="s">
        <v>448</v>
      </c>
      <c r="C9" s="139">
        <f>'Total Discounting'!S67</f>
        <v>2659.336697638661</v>
      </c>
      <c r="D9" s="139">
        <f>'Total Discounting'!U67</f>
        <v>3545.7822635182165</v>
      </c>
      <c r="E9" s="644">
        <f>Summary!O14</f>
        <v>531559.5897736859</v>
      </c>
      <c r="F9" s="82">
        <f>'Total Discounting'!W67</f>
        <v>4835.1576320702925</v>
      </c>
      <c r="G9" s="82">
        <f>'Total Discounting'!Y67</f>
        <v>6446.8768427603909</v>
      </c>
      <c r="H9" s="644">
        <f>Summary!P14</f>
        <v>966471.9814067015</v>
      </c>
    </row>
    <row r="10" spans="1:9" x14ac:dyDescent="0.25">
      <c r="A10" t="s">
        <v>8</v>
      </c>
      <c r="C10" s="139">
        <f>'Total Discounting'!S80</f>
        <v>318.6777956671018</v>
      </c>
      <c r="D10" s="139">
        <f>'Total Discounting'!U80</f>
        <v>463.53133915214795</v>
      </c>
      <c r="E10" s="644">
        <f>Summary!O15</f>
        <v>92559.183733173704</v>
      </c>
      <c r="F10" s="82">
        <f>'Total Discounting'!W80</f>
        <v>3944.1295081020926</v>
      </c>
      <c r="G10" s="82">
        <f>'Total Discounting'!Y80</f>
        <v>5736.9156481484988</v>
      </c>
      <c r="H10" s="644">
        <f>Summary!P15</f>
        <v>325671.20202412969</v>
      </c>
    </row>
  </sheetData>
  <mergeCells count="4">
    <mergeCell ref="C4:D4"/>
    <mergeCell ref="C3:E3"/>
    <mergeCell ref="F3:I3"/>
    <mergeCell ref="F4:G4"/>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Q49"/>
  <sheetViews>
    <sheetView topLeftCell="A2" zoomScaleNormal="100" workbookViewId="0">
      <selection activeCell="E12" sqref="E12"/>
    </sheetView>
  </sheetViews>
  <sheetFormatPr defaultColWidth="9.140625" defaultRowHeight="15" x14ac:dyDescent="0.25"/>
  <cols>
    <col min="1" max="1" width="6.5703125" style="2" customWidth="1"/>
    <col min="2" max="2" width="15.140625" style="2" customWidth="1"/>
    <col min="3" max="3" width="19" style="2" customWidth="1"/>
    <col min="4" max="4" width="15.5703125" style="2" customWidth="1"/>
    <col min="5" max="6" width="16" style="2" customWidth="1"/>
    <col min="7" max="7" width="14.28515625" style="2" customWidth="1"/>
    <col min="8" max="9" width="15.5703125" style="2" customWidth="1"/>
    <col min="10" max="10" width="12.28515625" style="2" customWidth="1"/>
    <col min="11" max="11" width="13.140625" style="2" customWidth="1"/>
    <col min="12" max="12" width="15" style="2" customWidth="1"/>
    <col min="13" max="13" width="12.7109375" style="2" customWidth="1"/>
    <col min="14" max="14" width="15.28515625" style="2" customWidth="1"/>
    <col min="15" max="15" width="18.42578125" style="2" customWidth="1"/>
    <col min="16" max="16384" width="9.140625" style="2"/>
  </cols>
  <sheetData>
    <row r="1" spans="1:17" s="1" customFormat="1" ht="25.5" customHeight="1" x14ac:dyDescent="0.25"/>
    <row r="2" spans="1:17" s="3" customFormat="1" ht="46.5" customHeight="1" x14ac:dyDescent="0.25">
      <c r="C2" s="701" t="s">
        <v>17</v>
      </c>
      <c r="D2" s="701"/>
      <c r="E2" s="701"/>
      <c r="F2" s="701"/>
      <c r="G2" s="701"/>
      <c r="H2" s="701"/>
      <c r="I2" s="701"/>
      <c r="J2" s="701"/>
      <c r="K2" s="701"/>
      <c r="L2" s="701"/>
      <c r="M2" s="701"/>
      <c r="N2" s="701"/>
      <c r="O2" s="8"/>
      <c r="P2" s="8"/>
      <c r="Q2" s="8"/>
    </row>
    <row r="3" spans="1:17" s="59" customFormat="1" ht="15" customHeight="1" x14ac:dyDescent="0.25">
      <c r="B3" s="92"/>
      <c r="C3" s="702" t="s">
        <v>285</v>
      </c>
      <c r="D3" s="702"/>
      <c r="E3" s="702"/>
      <c r="F3" s="702"/>
      <c r="G3" s="702"/>
      <c r="H3" s="702"/>
      <c r="I3" s="702"/>
      <c r="J3" s="702"/>
      <c r="K3" s="702"/>
      <c r="L3" s="702"/>
      <c r="M3" s="702"/>
      <c r="N3" s="702"/>
      <c r="O3" s="92"/>
      <c r="P3" s="93"/>
      <c r="Q3" s="93"/>
    </row>
    <row r="4" spans="1:17" x14ac:dyDescent="0.25">
      <c r="C4" s="17"/>
      <c r="D4" s="17"/>
      <c r="E4" s="17"/>
      <c r="F4" s="7"/>
      <c r="G4" s="7"/>
      <c r="H4" s="17"/>
      <c r="I4" s="17"/>
      <c r="J4" s="17"/>
      <c r="K4" s="17"/>
      <c r="L4" s="17"/>
      <c r="M4" s="17"/>
      <c r="N4" s="17"/>
    </row>
    <row r="5" spans="1:17" ht="22.5" customHeight="1" thickBot="1" x14ac:dyDescent="0.35">
      <c r="B5" s="17"/>
      <c r="C5" s="202"/>
      <c r="D5" s="202"/>
      <c r="E5" s="202"/>
      <c r="F5" s="217"/>
      <c r="H5" s="217"/>
      <c r="I5" s="534"/>
      <c r="J5" s="17"/>
      <c r="K5" s="17"/>
      <c r="L5" s="17"/>
      <c r="M5" s="18"/>
      <c r="N5" s="17"/>
    </row>
    <row r="6" spans="1:17" ht="108.75" customHeight="1" thickTop="1" thickBot="1" x14ac:dyDescent="0.3">
      <c r="B6" s="5" t="s">
        <v>83</v>
      </c>
      <c r="C6" s="197" t="s">
        <v>269</v>
      </c>
      <c r="D6" s="489" t="s">
        <v>465</v>
      </c>
      <c r="E6" s="489" t="s">
        <v>341</v>
      </c>
      <c r="F6" s="13" t="s">
        <v>464</v>
      </c>
      <c r="G6" s="13" t="s">
        <v>342</v>
      </c>
      <c r="H6" s="559" t="s">
        <v>462</v>
      </c>
      <c r="I6" s="13" t="s">
        <v>366</v>
      </c>
      <c r="J6" s="13" t="s">
        <v>106</v>
      </c>
      <c r="K6" s="13" t="s">
        <v>107</v>
      </c>
      <c r="L6" s="13" t="s">
        <v>470</v>
      </c>
      <c r="M6" s="13" t="s">
        <v>471</v>
      </c>
      <c r="N6" s="13" t="s">
        <v>426</v>
      </c>
      <c r="O6" s="13" t="s">
        <v>473</v>
      </c>
    </row>
    <row r="7" spans="1:17" ht="15" customHeight="1" x14ac:dyDescent="0.25">
      <c r="A7" s="17"/>
      <c r="B7" s="198" t="str">
        <f>Population!H6</f>
        <v>6 -12 months</v>
      </c>
      <c r="C7" s="195">
        <v>47</v>
      </c>
      <c r="D7" s="494">
        <v>0</v>
      </c>
      <c r="E7" s="495">
        <v>0</v>
      </c>
      <c r="F7" s="485">
        <v>0</v>
      </c>
      <c r="G7" s="647">
        <v>0</v>
      </c>
      <c r="H7" s="652">
        <v>0</v>
      </c>
      <c r="I7" s="535">
        <v>0</v>
      </c>
      <c r="J7" s="703">
        <v>66.98</v>
      </c>
      <c r="K7" s="710">
        <v>89.08</v>
      </c>
      <c r="L7" s="711">
        <v>199.53</v>
      </c>
      <c r="M7" s="711">
        <f>SUM(D42:D45)</f>
        <v>142.63079999999999</v>
      </c>
      <c r="N7" s="714">
        <f>Weighted!H14+Weighted!I14+Weighted!J14</f>
        <v>1467.4993480307833</v>
      </c>
      <c r="O7" s="707">
        <f>N7*(H12)</f>
        <v>275889.87742978724</v>
      </c>
    </row>
    <row r="8" spans="1:17" ht="15" customHeight="1" x14ac:dyDescent="0.25">
      <c r="B8" s="198" t="str">
        <f>Population!H7</f>
        <v>12-24 months</v>
      </c>
      <c r="C8" s="195">
        <v>256</v>
      </c>
      <c r="D8" s="493">
        <v>0</v>
      </c>
      <c r="E8" s="495">
        <v>0</v>
      </c>
      <c r="F8" s="485">
        <v>0</v>
      </c>
      <c r="G8" s="647">
        <v>0</v>
      </c>
      <c r="H8" s="652">
        <v>0</v>
      </c>
      <c r="I8" s="535">
        <v>0</v>
      </c>
      <c r="J8" s="704"/>
      <c r="K8" s="705"/>
      <c r="L8" s="712"/>
      <c r="M8" s="712"/>
      <c r="N8" s="715"/>
      <c r="O8" s="708"/>
      <c r="P8" s="7"/>
    </row>
    <row r="9" spans="1:17" ht="15" customHeight="1" x14ac:dyDescent="0.25">
      <c r="B9" s="198" t="str">
        <f>Population!H8</f>
        <v>24-36 months</v>
      </c>
      <c r="C9" s="195">
        <v>393</v>
      </c>
      <c r="D9" s="195">
        <v>32</v>
      </c>
      <c r="E9" s="495">
        <v>5.72</v>
      </c>
      <c r="F9" s="485">
        <v>31</v>
      </c>
      <c r="G9" s="647">
        <v>3.9</v>
      </c>
      <c r="H9" s="652">
        <v>38</v>
      </c>
      <c r="I9" s="535">
        <v>8</v>
      </c>
      <c r="J9" s="704"/>
      <c r="K9" s="705"/>
      <c r="L9" s="712"/>
      <c r="M9" s="712"/>
      <c r="N9" s="715"/>
      <c r="O9" s="708"/>
      <c r="Q9" s="7"/>
    </row>
    <row r="10" spans="1:17" ht="15" customHeight="1" x14ac:dyDescent="0.25">
      <c r="B10" s="198" t="str">
        <f>Population!H9</f>
        <v>36-48 months</v>
      </c>
      <c r="C10" s="195">
        <v>400</v>
      </c>
      <c r="D10" s="195">
        <v>60</v>
      </c>
      <c r="E10" s="495">
        <v>5.87</v>
      </c>
      <c r="F10" s="485">
        <v>60</v>
      </c>
      <c r="G10" s="648">
        <v>3.68</v>
      </c>
      <c r="H10" s="652">
        <v>65</v>
      </c>
      <c r="I10" s="650">
        <v>8.8000000000000007</v>
      </c>
      <c r="J10" s="705"/>
      <c r="K10" s="705"/>
      <c r="L10" s="712"/>
      <c r="M10" s="712"/>
      <c r="N10" s="715"/>
      <c r="O10" s="708"/>
    </row>
    <row r="11" spans="1:17" ht="15.75" customHeight="1" thickBot="1" x14ac:dyDescent="0.3">
      <c r="B11" s="23" t="str">
        <f>Population!H10</f>
        <v>48-60 months</v>
      </c>
      <c r="C11" s="196">
        <v>440</v>
      </c>
      <c r="D11" s="196">
        <v>64</v>
      </c>
      <c r="E11" s="496">
        <v>4.97</v>
      </c>
      <c r="F11" s="488">
        <v>75</v>
      </c>
      <c r="G11" s="649">
        <v>3.41</v>
      </c>
      <c r="H11" s="653">
        <v>85</v>
      </c>
      <c r="I11" s="651">
        <v>6.8</v>
      </c>
      <c r="J11" s="706"/>
      <c r="K11" s="706"/>
      <c r="L11" s="713"/>
      <c r="M11" s="713"/>
      <c r="N11" s="716"/>
      <c r="O11" s="709"/>
    </row>
    <row r="12" spans="1:17" ht="21.75" thickTop="1" x14ac:dyDescent="0.3">
      <c r="A12" s="10"/>
      <c r="B12" s="66" t="s">
        <v>267</v>
      </c>
      <c r="C12" s="94">
        <f>SUM(C7:C11)</f>
        <v>1536</v>
      </c>
      <c r="D12" s="94">
        <f>SUM(D7:D11)</f>
        <v>156</v>
      </c>
      <c r="E12" s="497">
        <v>5.47</v>
      </c>
      <c r="F12" s="94">
        <f>SUM(F7:F11)</f>
        <v>166</v>
      </c>
      <c r="G12" s="487">
        <v>3.6</v>
      </c>
      <c r="H12" s="654">
        <f>SUM(H7:H11)</f>
        <v>188</v>
      </c>
      <c r="I12" s="499">
        <v>9.3000000000000007</v>
      </c>
      <c r="J12" s="35"/>
      <c r="K12" s="35"/>
      <c r="L12" s="35"/>
      <c r="N12" s="35"/>
    </row>
    <row r="13" spans="1:17" ht="24" thickBot="1" x14ac:dyDescent="0.4">
      <c r="A13" s="20"/>
      <c r="B13" s="537" t="s">
        <v>467</v>
      </c>
      <c r="C13" s="69"/>
      <c r="D13" s="69"/>
      <c r="E13" s="532">
        <f>((D9*E9)+(D10*E10)+(D11*E11))/SUM(H9:H11)</f>
        <v>4.5389361702127653</v>
      </c>
      <c r="F13" s="69"/>
      <c r="G13" s="532">
        <f>((F9*G9)+(F10*G10)+(F11*G11))/SUM(H9:H11)</f>
        <v>3.177925531914894</v>
      </c>
      <c r="H13" s="536"/>
      <c r="I13" s="486">
        <f>((H9*I9)+(H10*I10)+(H11*I11))/SUM(H9:H11)</f>
        <v>7.7340425531914896</v>
      </c>
      <c r="J13" s="35"/>
      <c r="K13" s="35"/>
      <c r="L13" s="35"/>
      <c r="N13" s="35"/>
    </row>
    <row r="14" spans="1:17" ht="22.5" thickTop="1" thickBot="1" x14ac:dyDescent="0.4">
      <c r="A14" s="20"/>
      <c r="B14" s="539" t="s">
        <v>418</v>
      </c>
      <c r="C14" s="69"/>
      <c r="E14" s="541">
        <f>H12/Population!I11</f>
        <v>7.3009708737864082E-2</v>
      </c>
      <c r="F14" s="69"/>
      <c r="G14" s="487"/>
      <c r="H14" s="536"/>
      <c r="I14" s="486"/>
      <c r="J14" s="35"/>
      <c r="K14" s="35"/>
      <c r="L14" s="655"/>
      <c r="N14" s="35"/>
    </row>
    <row r="15" spans="1:17" ht="19.5" thickTop="1" x14ac:dyDescent="0.3">
      <c r="A15" s="20"/>
      <c r="B15" s="17"/>
      <c r="C15" s="18"/>
      <c r="D15" s="18"/>
      <c r="E15" s="498"/>
      <c r="F15" s="18"/>
      <c r="G15" s="18"/>
      <c r="H15" s="35"/>
      <c r="I15" s="35"/>
      <c r="J15" s="35"/>
      <c r="K15" s="509"/>
      <c r="L15" s="35"/>
      <c r="M15" s="35"/>
      <c r="N15" s="35"/>
    </row>
    <row r="16" spans="1:17" ht="15" customHeight="1" x14ac:dyDescent="0.25">
      <c r="B16" s="2" t="s">
        <v>365</v>
      </c>
      <c r="E16" s="7"/>
      <c r="L16" s="531"/>
    </row>
    <row r="17" spans="2:12" ht="15" customHeight="1" x14ac:dyDescent="0.25">
      <c r="B17" s="2" t="s">
        <v>477</v>
      </c>
      <c r="E17" s="7"/>
      <c r="L17" s="531"/>
    </row>
    <row r="18" spans="2:12" x14ac:dyDescent="0.25">
      <c r="B18" s="7" t="s">
        <v>472</v>
      </c>
      <c r="L18" s="531"/>
    </row>
    <row r="19" spans="2:12" x14ac:dyDescent="0.25">
      <c r="B19" s="7" t="s">
        <v>466</v>
      </c>
    </row>
    <row r="20" spans="2:12" x14ac:dyDescent="0.25">
      <c r="B20" s="2" t="s">
        <v>270</v>
      </c>
    </row>
    <row r="21" spans="2:12" x14ac:dyDescent="0.25">
      <c r="B21" s="2" t="s">
        <v>325</v>
      </c>
    </row>
    <row r="22" spans="2:12" x14ac:dyDescent="0.25">
      <c r="B22" s="2" t="s">
        <v>320</v>
      </c>
      <c r="L22" s="530"/>
    </row>
    <row r="23" spans="2:12" x14ac:dyDescent="0.25">
      <c r="B23" s="133" t="s">
        <v>468</v>
      </c>
    </row>
    <row r="24" spans="2:12" x14ac:dyDescent="0.25">
      <c r="D24" s="7"/>
    </row>
    <row r="25" spans="2:12" x14ac:dyDescent="0.25">
      <c r="D25" s="7"/>
    </row>
    <row r="26" spans="2:12" x14ac:dyDescent="0.25">
      <c r="D26" s="7"/>
    </row>
    <row r="27" spans="2:12" x14ac:dyDescent="0.25">
      <c r="D27" s="7"/>
    </row>
    <row r="28" spans="2:12" x14ac:dyDescent="0.25">
      <c r="D28" s="7"/>
    </row>
    <row r="29" spans="2:12" x14ac:dyDescent="0.25">
      <c r="D29" s="7"/>
    </row>
    <row r="30" spans="2:12" x14ac:dyDescent="0.25">
      <c r="D30" s="7"/>
    </row>
    <row r="31" spans="2:12" x14ac:dyDescent="0.25">
      <c r="D31" s="7"/>
    </row>
    <row r="32" spans="2:12" x14ac:dyDescent="0.25">
      <c r="D32" s="7"/>
    </row>
    <row r="33" spans="2:4" x14ac:dyDescent="0.25">
      <c r="D33" s="7"/>
    </row>
    <row r="34" spans="2:4" x14ac:dyDescent="0.25">
      <c r="D34" s="7"/>
    </row>
    <row r="35" spans="2:4" x14ac:dyDescent="0.25">
      <c r="D35" s="7"/>
    </row>
    <row r="36" spans="2:4" x14ac:dyDescent="0.25">
      <c r="D36" s="7"/>
    </row>
    <row r="37" spans="2:4" x14ac:dyDescent="0.25">
      <c r="D37" s="7"/>
    </row>
    <row r="40" spans="2:4" x14ac:dyDescent="0.25">
      <c r="B40" s="2" t="s">
        <v>324</v>
      </c>
    </row>
    <row r="41" spans="2:4" x14ac:dyDescent="0.25">
      <c r="B41" s="504" t="s">
        <v>321</v>
      </c>
      <c r="C41" s="505" t="s">
        <v>314</v>
      </c>
      <c r="D41" s="505" t="s">
        <v>315</v>
      </c>
    </row>
    <row r="42" spans="2:4" x14ac:dyDescent="0.25">
      <c r="B42" s="504">
        <v>127.56</v>
      </c>
      <c r="C42" s="506">
        <v>0.62</v>
      </c>
      <c r="D42" s="504">
        <f>B42*C42</f>
        <v>79.087199999999996</v>
      </c>
    </row>
    <row r="43" spans="2:4" x14ac:dyDescent="0.25">
      <c r="B43" s="504">
        <v>155.35</v>
      </c>
      <c r="C43" s="506">
        <v>0.24</v>
      </c>
      <c r="D43" s="504">
        <f>B43*C43</f>
        <v>37.283999999999999</v>
      </c>
    </row>
    <row r="44" spans="2:4" x14ac:dyDescent="0.25">
      <c r="B44" s="504">
        <v>188.84</v>
      </c>
      <c r="C44" s="506">
        <v>0.09</v>
      </c>
      <c r="D44" s="504">
        <f>B44*C44</f>
        <v>16.9956</v>
      </c>
    </row>
    <row r="45" spans="2:4" x14ac:dyDescent="0.25">
      <c r="B45" s="504">
        <v>231.6</v>
      </c>
      <c r="C45" s="506">
        <v>0.04</v>
      </c>
      <c r="D45" s="504">
        <f>B45*C45</f>
        <v>9.2639999999999993</v>
      </c>
    </row>
    <row r="46" spans="2:4" x14ac:dyDescent="0.25">
      <c r="B46" s="508"/>
      <c r="D46" s="507"/>
    </row>
    <row r="47" spans="2:4" x14ac:dyDescent="0.25">
      <c r="B47" s="508"/>
    </row>
    <row r="48" spans="2:4" x14ac:dyDescent="0.25">
      <c r="B48" s="508"/>
    </row>
    <row r="49" spans="2:2" x14ac:dyDescent="0.25">
      <c r="B49" s="508"/>
    </row>
  </sheetData>
  <mergeCells count="8">
    <mergeCell ref="C2:N2"/>
    <mergeCell ref="C3:N3"/>
    <mergeCell ref="J7:J11"/>
    <mergeCell ref="O7:O11"/>
    <mergeCell ref="K7:K11"/>
    <mergeCell ref="M7:M11"/>
    <mergeCell ref="N7:N11"/>
    <mergeCell ref="L7:L11"/>
  </mergeCells>
  <dataValidations xWindow="895" yWindow="527" count="11">
    <dataValidation allowBlank="1" showInputMessage="1" showErrorMessage="1" promptTitle="% of Caries Treated" prompt="What percentage of caries per age group are actually treated?  Need input from YK Dentist." sqref="F8:F11"/>
    <dataValidation allowBlank="1" showInputMessage="1" showErrorMessage="1" promptTitle=" Exam Medicaid Reimbursement $" prompt="Assumed that each new or existing child being seen for caries will receive a oral exam by a provider.  We chose a limited exam over a comprehensive exam because the YK frequency illustrates that more children were receiving limited oral exams." sqref="J7:J11"/>
    <dataValidation allowBlank="1" showInputMessage="1" showErrorMessage="1" promptTitle="X-Ray Medicaid Reimbursement $" prompt="Intraoral Complete Series including bitewing x-rays.  Need to clarify with dentist as to which x-ray are mostly done during the evaluation." sqref="K7:K11"/>
    <dataValidation allowBlank="1" showInputMessage="1" showErrorMessage="1" promptTitle="Filling Medicaid Reimbursement $" prompt="This costs is the weighted costs of all resin-based anterior surface costs associated with one, two, three, and four or more surfaces using Medicaid reimbursement fees." sqref="M7:M11"/>
    <dataValidation allowBlank="1" showInputMessage="1" showErrorMessage="1" promptTitle="Avg. No. of Fillings per Child" prompt="AIP Report stated that children 4-5 years had a total of 18 primary teeth with a mean dmft of 7.32 and a mean of untreated decayed  teeth of 3.23.  Therefore we concluded that the proportion of teeth treated with fillings is 18/mean dmft." sqref="G8:G11"/>
    <dataValidation allowBlank="1" showInputMessage="1" showErrorMessage="1" promptTitle="Total Number of Children Seen" prompt="Enter the total number of children that were seen for caries treatment in one year.   Data presented here was obtained from Year 2011 YKHC Dental Procedure Visits database." sqref="C7 E7"/>
    <dataValidation allowBlank="1" showInputMessage="1" showErrorMessage="1" promptTitle="Cost per child per caries" prompt="Inclusive of applying the filling, oral exam (limited), and x-rays" sqref="N7:N11"/>
    <dataValidation allowBlank="1" showInputMessage="1" showErrorMessage="1" promptTitle="Avg. No. of Teeth w/Fillings " prompt="Described as of the children reporting to have fillings, what is the average number of teeth that will have a filling per child.  For instance,of the 31 3-yr olds reporting to have fillings, it is estimated that ~4 of their teeth require fillings." sqref="G7"/>
    <dataValidation allowBlank="1" showInputMessage="1" showErrorMessage="1" promptTitle="Number of Children with Fillings" prompt="The estimated number of children (per age cohort) that have received at least one resin or amalgam filling within a year." sqref="F7"/>
    <dataValidation allowBlank="1" showInputMessage="1" showErrorMessage="1" promptTitle="Crown Reimbursement Cost" prompt="Medicaid Reimbursement fee for applying a stainless steel crown, as reported by local YK Dentist." sqref="L7:L11"/>
    <dataValidation allowBlank="1" showInputMessage="1" showErrorMessage="1" promptTitle="Avg No. of Caries per tooth" prompt="Given the average number of teeth requiring fillings, on average how many surface (i.e., fillings) are placed on each tooth." sqref="H7:I7"/>
  </dataValidations>
  <hyperlinks>
    <hyperlink ref="B13" location="Weighted!A1" display="Weighted Total"/>
  </hyperlinks>
  <pageMargins left="0.7" right="0.7" top="0.75" bottom="0.75" header="0.3" footer="0.3"/>
  <pageSetup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P26"/>
  <sheetViews>
    <sheetView workbookViewId="0">
      <selection activeCell="N9" sqref="N9:N13"/>
    </sheetView>
  </sheetViews>
  <sheetFormatPr defaultColWidth="9.140625" defaultRowHeight="15" x14ac:dyDescent="0.25"/>
  <cols>
    <col min="1" max="1" width="3.5703125" style="2" customWidth="1"/>
    <col min="2" max="2" width="7.5703125" style="2" customWidth="1"/>
    <col min="3" max="3" width="20.5703125" style="2" customWidth="1"/>
    <col min="4" max="4" width="20" style="2" customWidth="1"/>
    <col min="5" max="5" width="12.42578125" style="2" customWidth="1"/>
    <col min="6" max="6" width="13" style="2" customWidth="1"/>
    <col min="7" max="7" width="17.5703125" style="2" customWidth="1"/>
    <col min="8" max="14" width="16.28515625" style="2" customWidth="1"/>
    <col min="15" max="15" width="20.28515625" style="2" customWidth="1"/>
    <col min="16" max="16384" width="9.140625" style="2"/>
  </cols>
  <sheetData>
    <row r="1" spans="2:16" s="1" customFormat="1" ht="25.5" customHeight="1" x14ac:dyDescent="0.25"/>
    <row r="2" spans="2:16" s="3" customFormat="1" ht="46.5" customHeight="1" x14ac:dyDescent="0.25">
      <c r="C2" s="717" t="s">
        <v>18</v>
      </c>
      <c r="D2" s="717"/>
      <c r="E2" s="717"/>
      <c r="F2" s="717"/>
      <c r="G2" s="717"/>
      <c r="H2" s="717"/>
      <c r="I2" s="717"/>
      <c r="J2" s="717"/>
      <c r="K2" s="717"/>
      <c r="L2" s="717"/>
      <c r="M2" s="717"/>
      <c r="N2" s="717"/>
      <c r="O2" s="717"/>
    </row>
    <row r="3" spans="2:16" s="59" customFormat="1" ht="16.5" customHeight="1" x14ac:dyDescent="0.25">
      <c r="B3" s="60"/>
      <c r="C3" s="721" t="s">
        <v>284</v>
      </c>
      <c r="D3" s="721"/>
      <c r="E3" s="721"/>
      <c r="F3" s="721"/>
      <c r="G3" s="721"/>
      <c r="H3" s="721"/>
      <c r="I3" s="721"/>
      <c r="J3" s="721"/>
      <c r="K3" s="721"/>
      <c r="L3" s="721"/>
      <c r="M3" s="721"/>
      <c r="N3" s="721"/>
      <c r="O3" s="721"/>
    </row>
    <row r="4" spans="2:16" s="59" customFormat="1" ht="16.5" customHeight="1" x14ac:dyDescent="0.25">
      <c r="B4" s="60"/>
      <c r="C4" s="60"/>
      <c r="D4" s="60"/>
      <c r="E4" s="60"/>
      <c r="F4" s="60"/>
      <c r="G4" s="60"/>
    </row>
    <row r="5" spans="2:16" s="59" customFormat="1" ht="16.5" customHeight="1" x14ac:dyDescent="0.25">
      <c r="B5" s="60"/>
      <c r="C5" s="60"/>
      <c r="D5" s="60"/>
      <c r="E5" s="60"/>
      <c r="F5" s="60"/>
      <c r="G5" s="60"/>
    </row>
    <row r="6" spans="2:16" x14ac:dyDescent="0.25">
      <c r="G6" s="17"/>
    </row>
    <row r="7" spans="2:16" ht="4.5" customHeight="1" thickBot="1" x14ac:dyDescent="0.35">
      <c r="B7" s="36"/>
    </row>
    <row r="8" spans="2:16" ht="93" customHeight="1" thickTop="1" thickBot="1" x14ac:dyDescent="0.35">
      <c r="C8" s="5" t="s">
        <v>83</v>
      </c>
      <c r="D8" s="88" t="s">
        <v>272</v>
      </c>
      <c r="E8" s="511" t="s">
        <v>108</v>
      </c>
      <c r="F8" s="511" t="s">
        <v>109</v>
      </c>
      <c r="G8" s="511" t="s">
        <v>280</v>
      </c>
      <c r="H8" s="512" t="s">
        <v>337</v>
      </c>
      <c r="I8" s="512" t="s">
        <v>332</v>
      </c>
      <c r="J8" s="489" t="s">
        <v>333</v>
      </c>
      <c r="K8" s="489" t="s">
        <v>334</v>
      </c>
      <c r="L8" s="489" t="s">
        <v>338</v>
      </c>
      <c r="M8" s="489" t="s">
        <v>335</v>
      </c>
      <c r="N8" s="71" t="s">
        <v>385</v>
      </c>
      <c r="O8" s="25" t="s">
        <v>331</v>
      </c>
    </row>
    <row r="9" spans="2:16" ht="15" customHeight="1" x14ac:dyDescent="0.25">
      <c r="C9" s="738" t="s">
        <v>22</v>
      </c>
      <c r="D9" s="745">
        <v>161</v>
      </c>
      <c r="E9" s="742">
        <v>1500</v>
      </c>
      <c r="F9" s="741">
        <v>1500</v>
      </c>
      <c r="G9" s="741">
        <v>3198</v>
      </c>
      <c r="H9" s="741">
        <f>Caries!M7</f>
        <v>142.63079999999999</v>
      </c>
      <c r="I9" s="728">
        <v>199.53</v>
      </c>
      <c r="J9" s="731">
        <v>141.71</v>
      </c>
      <c r="K9" s="734">
        <v>131.83000000000001</v>
      </c>
      <c r="L9" s="725">
        <v>35</v>
      </c>
      <c r="M9" s="725">
        <v>250</v>
      </c>
      <c r="N9" s="722">
        <f>(SUM(E9:G12)+(H9*H13)+(I9*I13)+(J9*J13)+(K9*K13)+(L9*L13)+ M9)</f>
        <v>9348.8899799999999</v>
      </c>
      <c r="O9" s="718">
        <f>N9*D9</f>
        <v>1505171.28678</v>
      </c>
      <c r="P9" s="7"/>
    </row>
    <row r="10" spans="2:16" ht="15" customHeight="1" x14ac:dyDescent="0.25">
      <c r="C10" s="739"/>
      <c r="D10" s="746"/>
      <c r="E10" s="743"/>
      <c r="F10" s="726"/>
      <c r="G10" s="726"/>
      <c r="H10" s="726"/>
      <c r="I10" s="729"/>
      <c r="J10" s="732"/>
      <c r="K10" s="735"/>
      <c r="L10" s="726"/>
      <c r="M10" s="726"/>
      <c r="N10" s="723"/>
      <c r="O10" s="719"/>
    </row>
    <row r="11" spans="2:16" ht="15" customHeight="1" x14ac:dyDescent="0.25">
      <c r="C11" s="739"/>
      <c r="D11" s="746"/>
      <c r="E11" s="743"/>
      <c r="F11" s="726"/>
      <c r="G11" s="726"/>
      <c r="H11" s="726"/>
      <c r="I11" s="729"/>
      <c r="J11" s="732"/>
      <c r="K11" s="735"/>
      <c r="L11" s="726"/>
      <c r="M11" s="726"/>
      <c r="N11" s="723"/>
      <c r="O11" s="719"/>
      <c r="P11" s="7"/>
    </row>
    <row r="12" spans="2:16" ht="15" customHeight="1" thickBot="1" x14ac:dyDescent="0.3">
      <c r="C12" s="740"/>
      <c r="D12" s="747"/>
      <c r="E12" s="744"/>
      <c r="F12" s="727"/>
      <c r="G12" s="727"/>
      <c r="H12" s="727"/>
      <c r="I12" s="730"/>
      <c r="J12" s="733"/>
      <c r="K12" s="736"/>
      <c r="L12" s="727"/>
      <c r="M12" s="727"/>
      <c r="N12" s="723"/>
      <c r="O12" s="719"/>
      <c r="P12" s="7"/>
    </row>
    <row r="13" spans="2:16" ht="30" customHeight="1" thickBot="1" x14ac:dyDescent="0.3">
      <c r="C13" s="510" t="s">
        <v>336</v>
      </c>
      <c r="D13" s="513" t="s">
        <v>25</v>
      </c>
      <c r="E13" s="513" t="s">
        <v>25</v>
      </c>
      <c r="F13" s="513" t="s">
        <v>25</v>
      </c>
      <c r="G13" s="513" t="s">
        <v>25</v>
      </c>
      <c r="H13" s="514">
        <f>Caries!G12</f>
        <v>3.6</v>
      </c>
      <c r="I13" s="515">
        <f>Caries!E12</f>
        <v>5.47</v>
      </c>
      <c r="J13" s="516">
        <v>4</v>
      </c>
      <c r="K13" s="517">
        <v>5</v>
      </c>
      <c r="L13" s="517">
        <v>2</v>
      </c>
      <c r="M13" s="518" t="s">
        <v>25</v>
      </c>
      <c r="N13" s="724"/>
      <c r="O13" s="720"/>
    </row>
    <row r="14" spans="2:16" ht="11.25" customHeight="1" thickTop="1" x14ac:dyDescent="0.25">
      <c r="G14" s="7"/>
      <c r="H14" s="7"/>
      <c r="I14" s="7"/>
      <c r="J14" s="7"/>
      <c r="K14" s="7"/>
      <c r="L14" s="7"/>
      <c r="M14" s="7"/>
      <c r="N14" s="7"/>
    </row>
    <row r="15" spans="2:16" ht="18.75" x14ac:dyDescent="0.3">
      <c r="C15" s="9" t="s">
        <v>419</v>
      </c>
      <c r="F15" s="590">
        <f>D9/Population!I11</f>
        <v>6.2524271844660195E-2</v>
      </c>
      <c r="G15" s="7"/>
      <c r="H15" s="7"/>
      <c r="I15" s="7"/>
      <c r="J15" s="7"/>
      <c r="K15" s="7"/>
      <c r="L15" s="7"/>
      <c r="M15" s="7"/>
      <c r="N15" s="7"/>
    </row>
    <row r="16" spans="2:16" ht="21" x14ac:dyDescent="0.35">
      <c r="C16" s="537" t="s">
        <v>368</v>
      </c>
      <c r="D16" s="540"/>
      <c r="G16" s="7"/>
      <c r="H16" s="7"/>
      <c r="I16" s="7"/>
      <c r="J16" s="7"/>
      <c r="K16" s="7"/>
      <c r="L16" s="7"/>
      <c r="M16" s="7"/>
      <c r="N16" s="7"/>
    </row>
    <row r="17" spans="3:15" ht="21" x14ac:dyDescent="0.35">
      <c r="C17" s="537"/>
      <c r="D17" s="540"/>
      <c r="G17" s="7"/>
      <c r="H17" s="7"/>
      <c r="I17" s="7"/>
      <c r="J17" s="7"/>
      <c r="K17" s="7"/>
      <c r="L17" s="7"/>
      <c r="M17" s="7"/>
      <c r="N17" s="7"/>
    </row>
    <row r="18" spans="3:15" x14ac:dyDescent="0.25">
      <c r="C18" s="133" t="s">
        <v>312</v>
      </c>
    </row>
    <row r="19" spans="3:15" ht="18" customHeight="1" x14ac:dyDescent="0.25">
      <c r="C19" s="2" t="s">
        <v>273</v>
      </c>
    </row>
    <row r="20" spans="3:15" ht="18" customHeight="1" x14ac:dyDescent="0.25">
      <c r="C20" s="2" t="s">
        <v>313</v>
      </c>
    </row>
    <row r="21" spans="3:15" ht="18" customHeight="1" x14ac:dyDescent="0.25">
      <c r="C21" s="99" t="s">
        <v>340</v>
      </c>
    </row>
    <row r="22" spans="3:15" ht="15" customHeight="1" x14ac:dyDescent="0.25">
      <c r="C22" s="737" t="s">
        <v>369</v>
      </c>
      <c r="D22" s="737"/>
      <c r="E22" s="737"/>
      <c r="F22" s="737"/>
      <c r="G22" s="737"/>
      <c r="H22" s="737"/>
      <c r="I22" s="737"/>
      <c r="J22" s="737"/>
      <c r="K22" s="737"/>
      <c r="L22" s="737"/>
      <c r="M22" s="737"/>
      <c r="N22" s="737"/>
      <c r="O22" s="737"/>
    </row>
    <row r="23" spans="3:15" x14ac:dyDescent="0.25">
      <c r="C23" s="737"/>
      <c r="D23" s="737"/>
      <c r="E23" s="737"/>
      <c r="F23" s="737"/>
      <c r="G23" s="737"/>
      <c r="H23" s="737"/>
      <c r="I23" s="737"/>
      <c r="J23" s="737"/>
      <c r="K23" s="737"/>
      <c r="L23" s="737"/>
      <c r="M23" s="737"/>
      <c r="N23" s="737"/>
      <c r="O23" s="737"/>
    </row>
    <row r="24" spans="3:15" x14ac:dyDescent="0.25">
      <c r="C24" s="538" t="s">
        <v>370</v>
      </c>
      <c r="D24" s="538"/>
      <c r="E24" s="538"/>
      <c r="F24" s="538"/>
      <c r="G24" s="538"/>
      <c r="H24" s="538"/>
      <c r="I24" s="538"/>
      <c r="J24" s="538"/>
      <c r="K24" s="538"/>
      <c r="L24" s="538"/>
      <c r="M24" s="538"/>
      <c r="N24" s="538"/>
      <c r="O24" s="538"/>
    </row>
    <row r="25" spans="3:15" x14ac:dyDescent="0.25">
      <c r="C25" s="361" t="s">
        <v>372</v>
      </c>
    </row>
    <row r="26" spans="3:15" x14ac:dyDescent="0.25">
      <c r="C26" s="2" t="s">
        <v>371</v>
      </c>
    </row>
  </sheetData>
  <mergeCells count="16">
    <mergeCell ref="C22:O23"/>
    <mergeCell ref="C9:C12"/>
    <mergeCell ref="H9:H12"/>
    <mergeCell ref="E9:E12"/>
    <mergeCell ref="F9:F12"/>
    <mergeCell ref="D9:D12"/>
    <mergeCell ref="G9:G12"/>
    <mergeCell ref="C2:O2"/>
    <mergeCell ref="O9:O13"/>
    <mergeCell ref="C3:O3"/>
    <mergeCell ref="N9:N13"/>
    <mergeCell ref="L9:L12"/>
    <mergeCell ref="I9:I12"/>
    <mergeCell ref="J9:J12"/>
    <mergeCell ref="K9:K12"/>
    <mergeCell ref="M9:M12"/>
  </mergeCells>
  <dataValidations count="15">
    <dataValidation allowBlank="1" showInputMessage="1" showErrorMessage="1" promptTitle="Total FMDRs" prompt="Enter the total number of FMDRs completed during one year.  AIP reports that ~400 FMDRs are completed each year in the YK.  Data listed was reported using YK Frequency Data." sqref="D9 D13:G13"/>
    <dataValidation allowBlank="1" showInputMessage="1" showErrorMessage="1" promptTitle="Travel Cost" prompt="Enter the estimated amount of cost to transport a child and their parent/guardian to a facility to perform the FMDR." sqref="E9"/>
    <dataValidation allowBlank="1" showInputMessage="1" showErrorMessage="1" promptTitle="Personnel Cost" prompt="Enter the cost of personnel (i.e., nurses, staff, administration, etc) needed to assist with the performing the FMDR." sqref="F9"/>
    <dataValidation allowBlank="1" showInputMessage="1" showErrorMessage="1" promptTitle="Operation Cost" prompt="The average operating room cost across all age groups of children receiving FMDR.  This cost includes the room rental, prescription drugs required, and anesthesia." sqref="G9"/>
    <dataValidation allowBlank="1" showInputMessage="1" showErrorMessage="1" promptTitle="Full Mouth Reconstruction Cost" prompt="Total costs of performing one FMDR.  Assumption: each child receives only one FMDR within one year." sqref="N9"/>
    <dataValidation allowBlank="1" showInputMessage="1" showErrorMessage="1" promptTitle="Limited Oral Evaluation" prompt="Medicaid reimbursement cost for performing a limited oral evaluation in the operating room.  Each child receives at least an limied evaluation with some children receiving a full comprehensive evaluation." sqref="H9:H12"/>
    <dataValidation allowBlank="1" showInputMessage="1" showErrorMessage="1" promptTitle="Median Value per Child per Visit" prompt="The median number of films conducted during a FMDR procedure within the operating room." sqref="L13"/>
    <dataValidation allowBlank="1" showInputMessage="1" showErrorMessage="1" promptTitle="Stainless Steel Crown" prompt="Medicaid Reimbursement fee for applying a stainless steel crown, as reported by local YK Dentist.  Same Cost as shown on Caries page for children receivign crowns during an office visit." sqref="I9:I12"/>
    <dataValidation allowBlank="1" showInputMessage="1" showErrorMessage="1" promptTitle="Erupted Tooth Extraction" prompt="Medicaid reimbursement cost of removing an erupted tooth in the operating room under anesthesia." sqref="J9:J12"/>
    <dataValidation allowBlank="1" showInputMessage="1" showErrorMessage="1" promptTitle="Vital Pulpotomy-DEC" prompt="Medicaid reimbursment costs associated with performing a pulpotomy on children being treated for caries." sqref="K9:K12 L9"/>
    <dataValidation allowBlank="1" showInputMessage="1" showErrorMessage="1" promptTitle="Other Associated Costs" prompt="Medicaid reimbursement for other associated treatments performed in the operating room. Such treatment include top fluoride varnish, tooth sealant, bitewing films, occlusal film, protective resotration, and resin-1 surface anterior and posterior fillings." sqref="M9:M12"/>
    <dataValidation allowBlank="1" showInputMessage="1" showErrorMessage="1" promptTitle="Median Value per Child per Visit" prompt="The median number of times a child would receive a filling in the operating room during a FMDR procedure.  It is the same as if they were being seen for the treatment of caries by a dental provider." sqref="H13"/>
    <dataValidation allowBlank="1" showInputMessage="1" showErrorMessage="1" promptTitle="Median Value per Child per Visit" prompt="The median number of crowns a child would receive in the operating room of a FMDR surgery.  This is the same value as that reporting for the average number of crowns completed for the treatment of caries." sqref="I13"/>
    <dataValidation allowBlank="1" showInputMessage="1" showErrorMessage="1" promptTitle="Median Value per Child per Visit" prompt="The median number of teeth pulled during a FMDR procedure performed in the operating room." sqref="J13"/>
    <dataValidation allowBlank="1" showInputMessage="1" showErrorMessage="1" promptTitle="Median Value per Child per Visit" prompt="The median number of times a child receives a pulpotomy during a FMDR procedure within the operating room." sqref="K13"/>
  </dataValidations>
  <hyperlinks>
    <hyperlink ref="C16" location="Weighted!A1" display="Weighted Total"/>
  </hyperlinks>
  <pageMargins left="0.7" right="0.7" top="0.75" bottom="0.75" header="0.3" footer="0.3"/>
  <pageSetup orientation="portrait" horizontalDpi="200" verticalDpi="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Z29"/>
  <sheetViews>
    <sheetView workbookViewId="0">
      <selection activeCell="M14" sqref="M14:M18"/>
    </sheetView>
  </sheetViews>
  <sheetFormatPr defaultRowHeight="15" x14ac:dyDescent="0.25"/>
  <cols>
    <col min="1" max="1" width="5" customWidth="1"/>
    <col min="2" max="2" width="4.42578125" customWidth="1"/>
    <col min="3" max="3" width="3.42578125" customWidth="1"/>
    <col min="4" max="4" width="13.7109375" customWidth="1"/>
    <col min="5" max="5" width="16.5703125" customWidth="1"/>
    <col min="6" max="6" width="18" customWidth="1"/>
    <col min="7" max="7" width="16.140625" customWidth="1"/>
    <col min="8" max="8" width="16.42578125" customWidth="1"/>
    <col min="9" max="9" width="16.7109375" customWidth="1"/>
    <col min="10" max="11" width="16.85546875" customWidth="1"/>
    <col min="12" max="12" width="20" customWidth="1"/>
    <col min="13" max="13" width="14.140625" customWidth="1"/>
    <col min="14" max="14" width="15.42578125" customWidth="1"/>
    <col min="15" max="15" width="17" customWidth="1"/>
    <col min="16" max="16" width="15.42578125" customWidth="1"/>
    <col min="17" max="17" width="16.42578125" customWidth="1"/>
  </cols>
  <sheetData>
    <row r="1" spans="1:26" s="1" customFormat="1" ht="25.5" customHeight="1" x14ac:dyDescent="0.25"/>
    <row r="2" spans="1:26" s="3" customFormat="1" ht="46.5" customHeight="1" x14ac:dyDescent="0.25">
      <c r="E2" s="701" t="s">
        <v>367</v>
      </c>
      <c r="F2" s="701"/>
      <c r="G2" s="701"/>
      <c r="H2" s="701"/>
      <c r="I2" s="701"/>
      <c r="J2" s="701"/>
      <c r="K2" s="701"/>
      <c r="L2" s="701"/>
      <c r="M2" s="701"/>
      <c r="N2" s="701"/>
      <c r="O2" s="701"/>
      <c r="P2" s="8"/>
      <c r="Q2" s="8"/>
      <c r="R2" s="8"/>
      <c r="S2" s="8"/>
    </row>
    <row r="3" spans="1:26" s="2" customFormat="1" x14ac:dyDescent="0.25"/>
    <row r="4" spans="1:26" s="2" customFormat="1" ht="15.75" thickBot="1" x14ac:dyDescent="0.3">
      <c r="O4" s="561"/>
    </row>
    <row r="5" spans="1:26" ht="116.25" customHeight="1" thickTop="1" x14ac:dyDescent="0.25">
      <c r="A5" s="2"/>
      <c r="B5" s="2"/>
      <c r="C5" s="2"/>
      <c r="D5" s="5" t="s">
        <v>83</v>
      </c>
      <c r="E5" s="197" t="s">
        <v>269</v>
      </c>
      <c r="F5" s="489" t="s">
        <v>360</v>
      </c>
      <c r="G5" s="489" t="s">
        <v>341</v>
      </c>
      <c r="H5" s="13" t="s">
        <v>359</v>
      </c>
      <c r="I5" s="13" t="s">
        <v>342</v>
      </c>
      <c r="J5" s="13" t="s">
        <v>361</v>
      </c>
      <c r="K5" s="13" t="s">
        <v>366</v>
      </c>
      <c r="L5" s="13" t="s">
        <v>469</v>
      </c>
      <c r="M5" s="13" t="s">
        <v>390</v>
      </c>
      <c r="N5" s="13" t="s">
        <v>381</v>
      </c>
      <c r="O5" s="553" t="s">
        <v>383</v>
      </c>
      <c r="P5" s="13" t="s">
        <v>382</v>
      </c>
      <c r="Q5" s="2"/>
      <c r="R5" s="2"/>
      <c r="S5" s="2"/>
      <c r="T5" s="2"/>
      <c r="U5" s="2"/>
      <c r="V5" s="2"/>
      <c r="W5" s="2"/>
      <c r="X5" s="2"/>
      <c r="Y5" s="2"/>
    </row>
    <row r="6" spans="1:26" ht="15" customHeight="1" x14ac:dyDescent="0.25">
      <c r="A6" s="2"/>
      <c r="B6" s="2"/>
      <c r="C6" s="2"/>
      <c r="D6" s="198" t="str">
        <f>Population!H7</f>
        <v>12-24 months</v>
      </c>
      <c r="E6" s="195">
        <v>47</v>
      </c>
      <c r="F6" s="791">
        <v>22</v>
      </c>
      <c r="G6" s="495">
        <v>0</v>
      </c>
      <c r="H6" s="794">
        <v>32</v>
      </c>
      <c r="I6" s="490">
        <v>0</v>
      </c>
      <c r="J6" s="754">
        <v>134</v>
      </c>
      <c r="K6" s="554">
        <v>0</v>
      </c>
      <c r="L6" s="757">
        <f>F6+H6+J6</f>
        <v>188</v>
      </c>
      <c r="M6" s="775">
        <f>Caries!D12+Caries!F12</f>
        <v>322</v>
      </c>
      <c r="N6" s="757">
        <f>FMDR!D9</f>
        <v>161</v>
      </c>
      <c r="O6" s="778">
        <f>Caries!D12+Caries!F12+FMDR!D9</f>
        <v>483</v>
      </c>
      <c r="P6" s="763">
        <f>N6/O6</f>
        <v>0.33333333333333331</v>
      </c>
      <c r="Q6" s="2"/>
      <c r="R6" s="2"/>
      <c r="S6" s="2"/>
      <c r="T6" s="2"/>
      <c r="U6" s="2"/>
      <c r="V6" s="2"/>
      <c r="W6" s="2"/>
      <c r="X6" s="2"/>
      <c r="Y6" s="2"/>
    </row>
    <row r="7" spans="1:26" ht="15" customHeight="1" x14ac:dyDescent="0.25">
      <c r="A7" s="2"/>
      <c r="B7" s="2"/>
      <c r="C7" s="2"/>
      <c r="D7" s="198" t="str">
        <f>Population!H8</f>
        <v>24-36 months</v>
      </c>
      <c r="E7" s="195">
        <v>256</v>
      </c>
      <c r="F7" s="792"/>
      <c r="G7" s="495">
        <v>0</v>
      </c>
      <c r="H7" s="795"/>
      <c r="I7" s="490">
        <v>0</v>
      </c>
      <c r="J7" s="755"/>
      <c r="K7" s="555">
        <v>0</v>
      </c>
      <c r="L7" s="758"/>
      <c r="M7" s="776"/>
      <c r="N7" s="758"/>
      <c r="O7" s="779"/>
      <c r="P7" s="764"/>
      <c r="Q7" s="2">
        <f>L6/(L6+N6)</f>
        <v>0.5386819484240688</v>
      </c>
      <c r="R7" s="2"/>
      <c r="S7" s="2"/>
      <c r="T7" s="2"/>
      <c r="U7" s="2"/>
      <c r="V7" s="2"/>
      <c r="W7" s="2"/>
      <c r="X7" s="2"/>
      <c r="Y7" s="2"/>
    </row>
    <row r="8" spans="1:26" ht="15" customHeight="1" x14ac:dyDescent="0.25">
      <c r="A8" s="2"/>
      <c r="B8" s="2"/>
      <c r="C8" s="2"/>
      <c r="D8" s="198" t="str">
        <f>Population!H9</f>
        <v>36-48 months</v>
      </c>
      <c r="E8" s="195">
        <v>393</v>
      </c>
      <c r="F8" s="792"/>
      <c r="G8" s="495">
        <v>5.72</v>
      </c>
      <c r="H8" s="795"/>
      <c r="I8" s="490">
        <v>3.9</v>
      </c>
      <c r="J8" s="755"/>
      <c r="K8" s="556">
        <v>8</v>
      </c>
      <c r="L8" s="758"/>
      <c r="M8" s="776"/>
      <c r="N8" s="758"/>
      <c r="O8" s="779"/>
      <c r="P8" s="764"/>
      <c r="Q8" s="2"/>
      <c r="R8" s="2"/>
      <c r="S8" s="2"/>
      <c r="T8" s="2"/>
      <c r="U8" s="2"/>
      <c r="V8" s="2"/>
      <c r="W8" s="2"/>
      <c r="X8" s="2"/>
      <c r="Y8" s="2"/>
    </row>
    <row r="9" spans="1:26" ht="15" customHeight="1" x14ac:dyDescent="0.25">
      <c r="A9" s="2"/>
      <c r="B9" s="2"/>
      <c r="C9" s="2"/>
      <c r="D9" s="198" t="str">
        <f>Population!H10</f>
        <v>48-60 months</v>
      </c>
      <c r="E9" s="195">
        <v>400</v>
      </c>
      <c r="F9" s="792"/>
      <c r="G9" s="495">
        <v>5.87</v>
      </c>
      <c r="H9" s="795"/>
      <c r="I9" s="491">
        <v>3.68</v>
      </c>
      <c r="J9" s="755"/>
      <c r="K9" s="557">
        <v>8.8000000000000007</v>
      </c>
      <c r="L9" s="758"/>
      <c r="M9" s="776"/>
      <c r="N9" s="758"/>
      <c r="O9" s="779"/>
      <c r="P9" s="764"/>
      <c r="Q9" s="2"/>
      <c r="R9" s="2"/>
      <c r="S9" s="2"/>
      <c r="T9" s="2"/>
      <c r="U9" s="2"/>
      <c r="V9" s="2"/>
      <c r="W9" s="2"/>
      <c r="X9" s="2"/>
      <c r="Y9" s="2"/>
    </row>
    <row r="10" spans="1:26" ht="15.75" customHeight="1" thickBot="1" x14ac:dyDescent="0.3">
      <c r="A10" s="2"/>
      <c r="B10" s="2"/>
      <c r="C10" s="2"/>
      <c r="D10" s="23" t="str">
        <f>Population!H11</f>
        <v>Total</v>
      </c>
      <c r="E10" s="196">
        <v>440</v>
      </c>
      <c r="F10" s="793"/>
      <c r="G10" s="496">
        <v>4.97</v>
      </c>
      <c r="H10" s="796"/>
      <c r="I10" s="492">
        <v>3.41</v>
      </c>
      <c r="J10" s="756"/>
      <c r="K10" s="558">
        <v>6.8</v>
      </c>
      <c r="L10" s="759"/>
      <c r="M10" s="777"/>
      <c r="N10" s="759"/>
      <c r="O10" s="780"/>
      <c r="P10" s="765"/>
      <c r="Q10" s="2"/>
      <c r="R10" s="2"/>
      <c r="S10" s="2"/>
      <c r="T10" s="2"/>
      <c r="U10" s="2"/>
      <c r="V10" s="2"/>
      <c r="W10" s="2"/>
      <c r="X10" s="2"/>
      <c r="Y10" s="2"/>
    </row>
    <row r="11" spans="1:26" ht="19.5" thickTop="1" x14ac:dyDescent="0.3">
      <c r="A11" s="2"/>
      <c r="B11" s="2"/>
      <c r="C11" s="2"/>
      <c r="D11" s="66" t="s">
        <v>6</v>
      </c>
      <c r="E11" s="94">
        <f>SUM(E6:E10)</f>
        <v>1536</v>
      </c>
      <c r="F11" s="94">
        <f>SUM(F6:F10)</f>
        <v>22</v>
      </c>
      <c r="G11" s="497">
        <f>Caries!E13</f>
        <v>4.5389361702127653</v>
      </c>
      <c r="H11" s="94">
        <f>SUM(H6:H10)</f>
        <v>32</v>
      </c>
      <c r="I11" s="487">
        <f>Caries!G13</f>
        <v>3.177925531914894</v>
      </c>
      <c r="J11" s="533">
        <f>SUM(J6)</f>
        <v>134</v>
      </c>
      <c r="K11" s="486"/>
      <c r="L11" s="486">
        <f>Caries!I13</f>
        <v>7.7340425531914896</v>
      </c>
      <c r="M11" s="35"/>
      <c r="N11" s="35"/>
      <c r="O11" s="35"/>
      <c r="P11" s="2"/>
      <c r="Q11" s="35"/>
      <c r="R11" s="2"/>
      <c r="S11" s="2"/>
      <c r="T11" s="2"/>
      <c r="U11" s="2"/>
      <c r="V11" s="2"/>
      <c r="W11" s="2"/>
      <c r="X11" s="2"/>
      <c r="Y11" s="2"/>
    </row>
    <row r="12" spans="1:26" s="2" customFormat="1" ht="15.75" thickBot="1" x14ac:dyDescent="0.3"/>
    <row r="13" spans="1:26" ht="95.25" thickTop="1" thickBot="1" x14ac:dyDescent="0.3">
      <c r="A13" s="2"/>
      <c r="B13" s="2"/>
      <c r="C13" s="24"/>
      <c r="D13" s="25" t="s">
        <v>106</v>
      </c>
      <c r="E13" s="13" t="s">
        <v>107</v>
      </c>
      <c r="F13" s="13" t="s">
        <v>268</v>
      </c>
      <c r="G13" s="13" t="s">
        <v>287</v>
      </c>
      <c r="H13" s="13" t="s">
        <v>362</v>
      </c>
      <c r="I13" s="13" t="s">
        <v>363</v>
      </c>
      <c r="J13" s="13" t="s">
        <v>364</v>
      </c>
      <c r="K13" s="13" t="s">
        <v>387</v>
      </c>
      <c r="L13" s="559" t="s">
        <v>386</v>
      </c>
      <c r="M13" s="559" t="s">
        <v>391</v>
      </c>
      <c r="N13" s="559" t="s">
        <v>384</v>
      </c>
      <c r="O13" s="559" t="s">
        <v>388</v>
      </c>
      <c r="P13" s="2"/>
      <c r="Q13" s="2"/>
      <c r="R13" s="2"/>
      <c r="S13" s="2"/>
      <c r="T13" s="2"/>
      <c r="U13" s="2"/>
      <c r="V13" s="2"/>
      <c r="W13" s="2"/>
      <c r="X13" s="2"/>
      <c r="Y13" s="2"/>
      <c r="Z13" s="2"/>
    </row>
    <row r="14" spans="1:26" ht="15" customHeight="1" thickTop="1" x14ac:dyDescent="0.25">
      <c r="A14" s="2"/>
      <c r="B14" s="2"/>
      <c r="C14" s="24"/>
      <c r="D14" s="766">
        <v>66.98</v>
      </c>
      <c r="E14" s="748">
        <v>89.08</v>
      </c>
      <c r="F14" s="748">
        <v>199.53</v>
      </c>
      <c r="G14" s="748">
        <f>Caries!M7</f>
        <v>142.63079999999999</v>
      </c>
      <c r="H14" s="751">
        <f>(F11/L6)*((D14+E14)+(L11*F14))</f>
        <v>198.84647464916253</v>
      </c>
      <c r="I14" s="760">
        <f>(H11/L6)*((D14+E14)+(L11*G14))</f>
        <v>214.32726410140333</v>
      </c>
      <c r="J14" s="787">
        <f>(J11/L6)*((D14+E14)+((L11*0.5*F14)+(L11*0.5*G14)))</f>
        <v>1054.3256092802173</v>
      </c>
      <c r="K14" s="788">
        <f>H14+I14+J14</f>
        <v>1467.4993480307833</v>
      </c>
      <c r="L14" s="769">
        <f>K14*(1-P6)</f>
        <v>978.33289868718896</v>
      </c>
      <c r="M14" s="784">
        <f>FMDR!N9</f>
        <v>9348.8899799999999</v>
      </c>
      <c r="N14" s="781">
        <f>M14*P6</f>
        <v>3116.29666</v>
      </c>
      <c r="O14" s="772">
        <f>L14+N14</f>
        <v>4094.6295586871888</v>
      </c>
      <c r="P14" s="2"/>
      <c r="Q14" s="2"/>
      <c r="R14" s="2"/>
      <c r="S14" s="2"/>
      <c r="T14" s="2"/>
      <c r="U14" s="2"/>
      <c r="V14" s="2"/>
      <c r="W14" s="2"/>
      <c r="X14" s="2"/>
      <c r="Y14" s="2"/>
      <c r="Z14" s="2"/>
    </row>
    <row r="15" spans="1:26" ht="15" customHeight="1" x14ac:dyDescent="0.25">
      <c r="A15" s="2"/>
      <c r="B15" s="2"/>
      <c r="C15" s="24"/>
      <c r="D15" s="767"/>
      <c r="E15" s="749"/>
      <c r="F15" s="749"/>
      <c r="G15" s="749"/>
      <c r="H15" s="752"/>
      <c r="I15" s="761"/>
      <c r="J15" s="782"/>
      <c r="K15" s="789"/>
      <c r="L15" s="770"/>
      <c r="M15" s="785"/>
      <c r="N15" s="782"/>
      <c r="O15" s="773"/>
      <c r="P15" s="2"/>
      <c r="Q15" s="2"/>
      <c r="R15" s="2"/>
      <c r="S15" s="2"/>
      <c r="T15" s="2"/>
      <c r="U15" s="2"/>
      <c r="V15" s="2"/>
      <c r="W15" s="2"/>
      <c r="X15" s="2"/>
      <c r="Y15" s="2"/>
      <c r="Z15" s="2"/>
    </row>
    <row r="16" spans="1:26" ht="15" customHeight="1" x14ac:dyDescent="0.25">
      <c r="A16" s="2"/>
      <c r="B16" s="2"/>
      <c r="C16" s="24"/>
      <c r="D16" s="767"/>
      <c r="E16" s="749"/>
      <c r="F16" s="749"/>
      <c r="G16" s="749"/>
      <c r="H16" s="752"/>
      <c r="I16" s="761"/>
      <c r="J16" s="782"/>
      <c r="K16" s="789"/>
      <c r="L16" s="770"/>
      <c r="M16" s="785"/>
      <c r="N16" s="782"/>
      <c r="O16" s="773"/>
      <c r="P16" s="2"/>
      <c r="Q16" s="2"/>
      <c r="R16" s="2"/>
      <c r="S16" s="2"/>
      <c r="T16" s="2"/>
      <c r="U16" s="2"/>
      <c r="V16" s="2"/>
      <c r="W16" s="2"/>
      <c r="X16" s="2"/>
      <c r="Y16" s="2"/>
      <c r="Z16" s="2"/>
    </row>
    <row r="17" spans="1:26" ht="15" customHeight="1" x14ac:dyDescent="0.25">
      <c r="A17" s="2"/>
      <c r="B17" s="2"/>
      <c r="C17" s="24"/>
      <c r="D17" s="767"/>
      <c r="E17" s="749"/>
      <c r="F17" s="749"/>
      <c r="G17" s="749"/>
      <c r="H17" s="752"/>
      <c r="I17" s="761"/>
      <c r="J17" s="782"/>
      <c r="K17" s="789"/>
      <c r="L17" s="770"/>
      <c r="M17" s="785"/>
      <c r="N17" s="782"/>
      <c r="O17" s="773"/>
      <c r="P17" s="2"/>
      <c r="Q17" s="2"/>
      <c r="R17" s="2"/>
      <c r="S17" s="2"/>
      <c r="T17" s="2"/>
      <c r="U17" s="2"/>
      <c r="V17" s="2"/>
      <c r="W17" s="2"/>
      <c r="X17" s="2"/>
      <c r="Y17" s="2"/>
      <c r="Z17" s="2"/>
    </row>
    <row r="18" spans="1:26" ht="15.75" customHeight="1" thickBot="1" x14ac:dyDescent="0.3">
      <c r="A18" s="2"/>
      <c r="B18" s="2"/>
      <c r="C18" s="24"/>
      <c r="D18" s="768"/>
      <c r="E18" s="750"/>
      <c r="F18" s="750"/>
      <c r="G18" s="750"/>
      <c r="H18" s="753"/>
      <c r="I18" s="762"/>
      <c r="J18" s="783"/>
      <c r="K18" s="790"/>
      <c r="L18" s="771"/>
      <c r="M18" s="786"/>
      <c r="N18" s="783"/>
      <c r="O18" s="774"/>
      <c r="P18" s="2"/>
      <c r="Q18" s="2"/>
      <c r="R18" s="2"/>
      <c r="S18" s="2"/>
      <c r="T18" s="2"/>
      <c r="U18" s="2"/>
      <c r="V18" s="2"/>
      <c r="W18" s="2"/>
      <c r="X18" s="2"/>
      <c r="Y18" s="2"/>
      <c r="Z18" s="2"/>
    </row>
    <row r="19" spans="1:26" s="2" customFormat="1" ht="15.75" thickTop="1" x14ac:dyDescent="0.25"/>
    <row r="20" spans="1:26" s="2" customFormat="1" x14ac:dyDescent="0.25"/>
    <row r="21" spans="1:26" s="2" customFormat="1" ht="18.75" x14ac:dyDescent="0.3">
      <c r="D21" s="9" t="s">
        <v>417</v>
      </c>
      <c r="H21" s="591">
        <f>(L6+N6)/Population!I11</f>
        <v>0.13553398058252428</v>
      </c>
    </row>
    <row r="22" spans="1:26" x14ac:dyDescent="0.25">
      <c r="A22" s="560"/>
      <c r="B22" s="560"/>
      <c r="C22" s="560"/>
      <c r="D22" s="560"/>
      <c r="E22" s="560"/>
      <c r="F22" s="560"/>
      <c r="G22" s="560"/>
      <c r="H22" s="560"/>
      <c r="I22" s="560"/>
      <c r="J22" s="560"/>
      <c r="K22" s="560"/>
      <c r="L22" s="560"/>
      <c r="M22" s="560"/>
      <c r="N22" s="560"/>
      <c r="O22" s="560"/>
      <c r="P22" s="560"/>
      <c r="Q22" s="560"/>
    </row>
    <row r="23" spans="1:26" x14ac:dyDescent="0.25">
      <c r="A23" s="560"/>
      <c r="B23" s="560"/>
      <c r="C23" s="560"/>
      <c r="D23" s="560"/>
      <c r="E23" s="560"/>
      <c r="F23" s="560"/>
      <c r="G23" s="560"/>
      <c r="H23" s="560"/>
      <c r="I23" s="560"/>
      <c r="J23" s="560"/>
      <c r="K23" s="560"/>
      <c r="L23" s="560"/>
      <c r="M23" s="560"/>
      <c r="N23" s="560"/>
      <c r="O23" s="560"/>
      <c r="P23" s="560"/>
      <c r="Q23" s="560"/>
    </row>
    <row r="24" spans="1:26" x14ac:dyDescent="0.25">
      <c r="A24" s="560"/>
      <c r="B24" s="560"/>
      <c r="C24" s="560"/>
      <c r="D24" s="560"/>
      <c r="E24" s="560"/>
      <c r="F24" s="560"/>
      <c r="G24" s="560"/>
      <c r="H24" s="560"/>
      <c r="I24" s="560"/>
      <c r="J24" s="560"/>
      <c r="K24" s="560"/>
      <c r="L24" s="560"/>
      <c r="M24" s="560"/>
      <c r="N24" s="560"/>
      <c r="O24" s="560"/>
      <c r="P24" s="560"/>
      <c r="Q24" s="560"/>
    </row>
    <row r="25" spans="1:26" x14ac:dyDescent="0.25">
      <c r="A25" s="560"/>
      <c r="B25" s="560"/>
      <c r="C25" s="560"/>
      <c r="D25" s="560"/>
      <c r="E25" s="560"/>
      <c r="F25" s="560"/>
      <c r="G25" s="560"/>
      <c r="H25" s="560"/>
      <c r="I25" s="560"/>
      <c r="J25" s="560"/>
      <c r="K25" s="560"/>
      <c r="L25" s="560"/>
      <c r="M25" s="560"/>
      <c r="N25" s="560"/>
      <c r="O25" s="560"/>
      <c r="P25" s="560"/>
      <c r="Q25" s="560"/>
    </row>
    <row r="26" spans="1:26" x14ac:dyDescent="0.25">
      <c r="A26" s="560"/>
      <c r="B26" s="560"/>
      <c r="C26" s="560"/>
      <c r="D26" s="560"/>
      <c r="E26" s="560"/>
      <c r="F26" s="560"/>
      <c r="G26" s="560"/>
      <c r="H26" s="560"/>
      <c r="I26" s="560"/>
      <c r="J26" s="560"/>
      <c r="K26" s="560"/>
      <c r="L26" s="560"/>
      <c r="M26" s="560"/>
      <c r="N26" s="560"/>
      <c r="O26" s="560"/>
      <c r="P26" s="560"/>
      <c r="Q26" s="560"/>
    </row>
    <row r="27" spans="1:26" x14ac:dyDescent="0.25">
      <c r="A27" s="560"/>
      <c r="B27" s="560"/>
      <c r="C27" s="560"/>
      <c r="D27" s="560"/>
      <c r="E27" s="560"/>
      <c r="F27" s="560"/>
      <c r="G27" s="560"/>
      <c r="H27" s="560"/>
      <c r="I27" s="560"/>
      <c r="J27" s="560"/>
      <c r="K27" s="560"/>
      <c r="L27" s="560"/>
      <c r="M27" s="560"/>
      <c r="N27" s="560"/>
      <c r="O27" s="560"/>
      <c r="P27" s="560"/>
      <c r="Q27" s="560"/>
    </row>
    <row r="28" spans="1:26" x14ac:dyDescent="0.25">
      <c r="A28" s="560"/>
      <c r="B28" s="560"/>
      <c r="C28" s="560"/>
      <c r="D28" s="560"/>
      <c r="E28" s="560"/>
      <c r="F28" s="560"/>
      <c r="G28" s="560"/>
      <c r="H28" s="560"/>
      <c r="I28" s="560"/>
      <c r="J28" s="560"/>
      <c r="K28" s="560"/>
      <c r="L28" s="560"/>
      <c r="M28" s="560"/>
      <c r="N28" s="560"/>
      <c r="O28" s="560"/>
      <c r="P28" s="560"/>
      <c r="Q28" s="560"/>
    </row>
    <row r="29" spans="1:26" x14ac:dyDescent="0.25">
      <c r="A29" s="560"/>
      <c r="B29" s="560"/>
      <c r="C29" s="560"/>
      <c r="D29" s="560"/>
      <c r="E29" s="560"/>
      <c r="F29" s="560"/>
      <c r="G29" s="560"/>
      <c r="H29" s="560"/>
      <c r="I29" s="560"/>
      <c r="J29" s="560"/>
      <c r="K29" s="560"/>
      <c r="L29" s="560"/>
      <c r="M29" s="560"/>
      <c r="N29" s="560"/>
      <c r="O29" s="560"/>
      <c r="P29" s="560"/>
      <c r="Q29" s="560"/>
    </row>
  </sheetData>
  <mergeCells count="21">
    <mergeCell ref="P6:P10"/>
    <mergeCell ref="E2:O2"/>
    <mergeCell ref="D14:D18"/>
    <mergeCell ref="L14:L18"/>
    <mergeCell ref="O14:O18"/>
    <mergeCell ref="M6:M10"/>
    <mergeCell ref="O6:O10"/>
    <mergeCell ref="N6:N10"/>
    <mergeCell ref="N14:N18"/>
    <mergeCell ref="M14:M18"/>
    <mergeCell ref="J14:J18"/>
    <mergeCell ref="K14:K18"/>
    <mergeCell ref="F6:F10"/>
    <mergeCell ref="H6:H10"/>
    <mergeCell ref="E14:E18"/>
    <mergeCell ref="F14:F18"/>
    <mergeCell ref="G14:G18"/>
    <mergeCell ref="H14:H18"/>
    <mergeCell ref="J6:J10"/>
    <mergeCell ref="L6:L10"/>
    <mergeCell ref="I14:I18"/>
  </mergeCells>
  <dataValidations count="10">
    <dataValidation allowBlank="1" showInputMessage="1" showErrorMessage="1" promptTitle="Crown Reimbursement Cost" prompt="Medicaid Reimbursement fee for applying a stainless steel crown, as reported by local YK Dentist." sqref="F14"/>
    <dataValidation allowBlank="1" showInputMessage="1" showErrorMessage="1" promptTitle="Number of Children with Fillings" prompt="The estimated number of children (per age cohort) that have received at least one resin or amalgam filling within a year." sqref="H6"/>
    <dataValidation allowBlank="1" showInputMessage="1" showErrorMessage="1" promptTitle="Avg. No. of Teeth w/Fillings " prompt="Described as of the children reporting to have fillings, what is the average number of teeth that will have a filling per child.  For instance,of the 31 3-yr olds reporting to have fillings, it is estimated that ~4 of their teeth require fillings." sqref="I6"/>
    <dataValidation allowBlank="1" showInputMessage="1" showErrorMessage="1" promptTitle="Total Number of Children Seen" prompt="Enter the total number of children that were seen for caries treatment in one year.   Data presented here was obtained from Year 2011 YKHC Dental Procedure Visits database." sqref="E6 G6"/>
    <dataValidation allowBlank="1" showInputMessage="1" showErrorMessage="1" promptTitle="Avg. No. of Fillings per Child" prompt="AIP Report stated that children 4-5 years had a total of 18 primary teeth with a mean dmft of 7.32 and a mean of untreated decayed  teeth of 3.23.  Therefore we concluded that the proportion of teeth treated with fillings is 18/mean dmft." sqref="I7:I10"/>
    <dataValidation allowBlank="1" showInputMessage="1" showErrorMessage="1" promptTitle="Filling Medicaid Reimbursement $" prompt="This costs is the weighted costs of all resin-based anterior surface costs associated with one, two, three, and four or more surfaces using Medicaid reimbursement fees." sqref="G14"/>
    <dataValidation allowBlank="1" showInputMessage="1" showErrorMessage="1" promptTitle="X-Ray Medicaid Reimbursement $" prompt="Intraoral Complete Series including bitewing x-rays.  Need to clarify with dentist as to which x-ray are mostly done during the evaluation." sqref="E14"/>
    <dataValidation allowBlank="1" showInputMessage="1" showErrorMessage="1" promptTitle=" Exam Medicaid Reimbursement $" prompt="Assumed that each new or existing child being seen for caries will receive a oral exam by a provider.  We chose a limited exam over a comprehensive exam because the YK frequency illustrates that more children were receiving limited oral exams." sqref="D14"/>
    <dataValidation allowBlank="1" showInputMessage="1" showErrorMessage="1" promptTitle="Cost per child per caries" prompt="Inclusive of applying the filling, oral exam (limited), and x-rays" sqref="H14:K14 N14"/>
    <dataValidation allowBlank="1" showInputMessage="1" showErrorMessage="1" promptTitle="Avg No. of Caries per tooth" prompt="Given the average number of teeth requiring fillings, on average how many surface (i.e., fillings) are placed on each tooth." sqref="J6:L6 N6"/>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21"/>
  <sheetViews>
    <sheetView zoomScaleNormal="100" workbookViewId="0">
      <selection activeCell="P30" sqref="P30"/>
    </sheetView>
  </sheetViews>
  <sheetFormatPr defaultColWidth="9.140625" defaultRowHeight="15" x14ac:dyDescent="0.25"/>
  <cols>
    <col min="1" max="1" width="9.140625" style="2"/>
    <col min="2" max="2" width="10.42578125" style="2" customWidth="1"/>
    <col min="3" max="3" width="18.7109375" style="2" customWidth="1"/>
    <col min="4" max="4" width="17.7109375" style="2" customWidth="1"/>
    <col min="5" max="5" width="17.5703125" style="2" customWidth="1"/>
    <col min="6" max="6" width="15.42578125" style="2" customWidth="1"/>
    <col min="7" max="7" width="14" style="2" customWidth="1"/>
    <col min="8" max="8" width="14.42578125" style="2" customWidth="1"/>
    <col min="9" max="9" width="14.7109375" style="2" customWidth="1"/>
    <col min="10" max="10" width="12.5703125" style="2" customWidth="1"/>
    <col min="11" max="11" width="17.7109375" style="2" customWidth="1"/>
    <col min="12" max="12" width="19.5703125" style="2" customWidth="1"/>
    <col min="13" max="13" width="20" style="2" customWidth="1"/>
    <col min="14" max="16384" width="9.140625" style="2"/>
  </cols>
  <sheetData>
    <row r="1" spans="1:13" s="1" customFormat="1" ht="25.5" customHeight="1" x14ac:dyDescent="0.25"/>
    <row r="2" spans="1:13" s="3" customFormat="1" ht="46.5" customHeight="1" x14ac:dyDescent="0.7">
      <c r="C2" s="695" t="s">
        <v>0</v>
      </c>
      <c r="D2" s="695"/>
      <c r="E2" s="695"/>
      <c r="F2" s="695"/>
      <c r="G2" s="695"/>
      <c r="H2" s="695"/>
      <c r="I2" s="695"/>
      <c r="J2" s="695"/>
      <c r="K2" s="695"/>
      <c r="L2" s="695"/>
      <c r="M2" s="695"/>
    </row>
    <row r="3" spans="1:13" s="59" customFormat="1" ht="11.25" customHeight="1" x14ac:dyDescent="0.7">
      <c r="B3" s="89"/>
      <c r="C3" s="802" t="s">
        <v>181</v>
      </c>
      <c r="D3" s="802"/>
      <c r="E3" s="802"/>
      <c r="F3" s="802"/>
      <c r="G3" s="802"/>
      <c r="H3" s="802"/>
      <c r="I3" s="802"/>
      <c r="J3" s="802"/>
      <c r="K3" s="802"/>
      <c r="L3" s="802"/>
      <c r="M3" s="802"/>
    </row>
    <row r="4" spans="1:13" s="59" customFormat="1" ht="16.5" customHeight="1" x14ac:dyDescent="0.7">
      <c r="B4" s="89"/>
      <c r="C4" s="802"/>
      <c r="D4" s="802"/>
      <c r="E4" s="802"/>
      <c r="F4" s="802"/>
      <c r="G4" s="802"/>
      <c r="H4" s="802"/>
      <c r="I4" s="802"/>
      <c r="J4" s="802"/>
      <c r="K4" s="802"/>
      <c r="L4" s="802"/>
      <c r="M4" s="802"/>
    </row>
    <row r="5" spans="1:13" s="59" customFormat="1" ht="20.25" customHeight="1" x14ac:dyDescent="0.7">
      <c r="B5" s="89"/>
      <c r="C5" s="89"/>
      <c r="D5" s="89"/>
      <c r="E5" s="89"/>
      <c r="F5" s="89"/>
      <c r="G5" s="89"/>
      <c r="H5" s="89"/>
      <c r="K5" s="147"/>
    </row>
    <row r="6" spans="1:13" ht="18.75" x14ac:dyDescent="0.3">
      <c r="C6" s="17"/>
      <c r="D6" s="17"/>
      <c r="I6" s="17"/>
      <c r="J6" s="17"/>
      <c r="K6" s="147"/>
    </row>
    <row r="7" spans="1:13" ht="18.75" customHeight="1" x14ac:dyDescent="0.3">
      <c r="A7" s="7"/>
      <c r="C7" s="809" t="s">
        <v>5</v>
      </c>
      <c r="D7" s="814" t="s">
        <v>205</v>
      </c>
      <c r="E7" s="814" t="s">
        <v>206</v>
      </c>
      <c r="F7" s="797" t="s">
        <v>31</v>
      </c>
      <c r="G7" s="798"/>
      <c r="H7" s="799"/>
      <c r="I7" s="800" t="s">
        <v>24</v>
      </c>
      <c r="J7" s="798"/>
      <c r="K7" s="801"/>
      <c r="L7" s="838" t="s">
        <v>45</v>
      </c>
      <c r="M7" s="839"/>
    </row>
    <row r="8" spans="1:13" ht="55.5" customHeight="1" thickBot="1" x14ac:dyDescent="0.3">
      <c r="A8" s="7"/>
      <c r="C8" s="810"/>
      <c r="D8" s="815"/>
      <c r="E8" s="815"/>
      <c r="F8" s="386" t="s">
        <v>28</v>
      </c>
      <c r="G8" s="53" t="s">
        <v>29</v>
      </c>
      <c r="H8" s="54" t="s">
        <v>27</v>
      </c>
      <c r="I8" s="90" t="s">
        <v>35</v>
      </c>
      <c r="J8" s="58" t="s">
        <v>36</v>
      </c>
      <c r="K8" s="385" t="s">
        <v>30</v>
      </c>
      <c r="L8" s="384" t="s">
        <v>289</v>
      </c>
      <c r="M8" s="383" t="s">
        <v>290</v>
      </c>
    </row>
    <row r="9" spans="1:13" ht="15" customHeight="1" thickTop="1" x14ac:dyDescent="0.25">
      <c r="B9" s="7"/>
      <c r="C9" s="811" t="str">
        <f>FMDR!C9</f>
        <v>6 - 60 months</v>
      </c>
      <c r="D9" s="824">
        <f>Villages!F13/Population!I11</f>
        <v>0.36077669902912624</v>
      </c>
      <c r="E9" s="820">
        <f>(Villages!F13+Villages!F35)/Population!I11</f>
        <v>0.68310679611650482</v>
      </c>
      <c r="F9" s="826">
        <v>5500</v>
      </c>
      <c r="G9" s="806">
        <v>1590</v>
      </c>
      <c r="H9" s="803">
        <f>F9+G9</f>
        <v>7090</v>
      </c>
      <c r="I9" s="829">
        <f>(20*(40*52))*0.05</f>
        <v>2080</v>
      </c>
      <c r="J9" s="832">
        <v>1545</v>
      </c>
      <c r="K9" s="835">
        <f>I9+J9</f>
        <v>3625</v>
      </c>
      <c r="L9" s="840">
        <f>(K9*D12)</f>
        <v>18125</v>
      </c>
      <c r="M9" s="843">
        <f>(H9*(E12-D12))+(K9*E12)</f>
        <v>200280</v>
      </c>
    </row>
    <row r="10" spans="1:13" ht="17.25" customHeight="1" x14ac:dyDescent="0.25">
      <c r="C10" s="812"/>
      <c r="D10" s="825"/>
      <c r="E10" s="821"/>
      <c r="F10" s="827"/>
      <c r="G10" s="807"/>
      <c r="H10" s="804"/>
      <c r="I10" s="830"/>
      <c r="J10" s="833"/>
      <c r="K10" s="836"/>
      <c r="L10" s="841"/>
      <c r="M10" s="844"/>
    </row>
    <row r="11" spans="1:13" ht="15" customHeight="1" x14ac:dyDescent="0.25">
      <c r="C11" s="812"/>
      <c r="D11" s="816" t="s">
        <v>204</v>
      </c>
      <c r="E11" s="817"/>
      <c r="F11" s="827"/>
      <c r="G11" s="807"/>
      <c r="H11" s="804"/>
      <c r="I11" s="830"/>
      <c r="J11" s="833"/>
      <c r="K11" s="836"/>
      <c r="L11" s="841"/>
      <c r="M11" s="844"/>
    </row>
    <row r="12" spans="1:13" ht="15" customHeight="1" x14ac:dyDescent="0.25">
      <c r="C12" s="812"/>
      <c r="D12" s="822">
        <f>Villages!H13</f>
        <v>5</v>
      </c>
      <c r="E12" s="818">
        <f>Villages!N20</f>
        <v>22</v>
      </c>
      <c r="F12" s="827"/>
      <c r="G12" s="807"/>
      <c r="H12" s="804"/>
      <c r="I12" s="830"/>
      <c r="J12" s="833"/>
      <c r="K12" s="836"/>
      <c r="L12" s="841"/>
      <c r="M12" s="844"/>
    </row>
    <row r="13" spans="1:13" ht="15.75" customHeight="1" thickBot="1" x14ac:dyDescent="0.3">
      <c r="C13" s="813"/>
      <c r="D13" s="823"/>
      <c r="E13" s="819"/>
      <c r="F13" s="828"/>
      <c r="G13" s="808"/>
      <c r="H13" s="805"/>
      <c r="I13" s="831"/>
      <c r="J13" s="834"/>
      <c r="K13" s="837"/>
      <c r="L13" s="842"/>
      <c r="M13" s="845"/>
    </row>
    <row r="14" spans="1:13" ht="15.75" thickTop="1" x14ac:dyDescent="0.25">
      <c r="B14" s="17"/>
      <c r="C14" s="17"/>
      <c r="K14" s="7"/>
      <c r="L14" s="19"/>
    </row>
    <row r="15" spans="1:13" x14ac:dyDescent="0.25">
      <c r="B15" s="17"/>
      <c r="C15" s="17"/>
      <c r="K15" s="7"/>
      <c r="L15" s="7"/>
      <c r="M15" s="17"/>
    </row>
    <row r="16" spans="1:13" x14ac:dyDescent="0.25">
      <c r="C16" s="149" t="s">
        <v>291</v>
      </c>
      <c r="K16" s="7"/>
      <c r="L16" s="7"/>
    </row>
    <row r="17" spans="3:12" x14ac:dyDescent="0.25">
      <c r="C17" s="149" t="s">
        <v>79</v>
      </c>
      <c r="K17" s="7"/>
      <c r="L17" s="7"/>
    </row>
    <row r="18" spans="3:12" x14ac:dyDescent="0.25">
      <c r="C18" s="16" t="s">
        <v>326</v>
      </c>
      <c r="L18" s="357"/>
    </row>
    <row r="19" spans="3:12" x14ac:dyDescent="0.25">
      <c r="C19" s="2" t="s">
        <v>292</v>
      </c>
    </row>
    <row r="20" spans="3:12" x14ac:dyDescent="0.25">
      <c r="C20" s="2" t="s">
        <v>330</v>
      </c>
    </row>
    <row r="21" spans="3:12" x14ac:dyDescent="0.25">
      <c r="C21" s="2" t="s">
        <v>329</v>
      </c>
    </row>
  </sheetData>
  <mergeCells count="22">
    <mergeCell ref="I9:I13"/>
    <mergeCell ref="J9:J13"/>
    <mergeCell ref="K9:K13"/>
    <mergeCell ref="L7:M7"/>
    <mergeCell ref="L9:L13"/>
    <mergeCell ref="M9:M13"/>
    <mergeCell ref="F7:H7"/>
    <mergeCell ref="I7:K7"/>
    <mergeCell ref="C3:M4"/>
    <mergeCell ref="C2:M2"/>
    <mergeCell ref="H9:H13"/>
    <mergeCell ref="G9:G13"/>
    <mergeCell ref="C7:C8"/>
    <mergeCell ref="C9:C13"/>
    <mergeCell ref="E7:E8"/>
    <mergeCell ref="D7:D8"/>
    <mergeCell ref="D11:E11"/>
    <mergeCell ref="E12:E13"/>
    <mergeCell ref="E9:E10"/>
    <mergeCell ref="D12:D13"/>
    <mergeCell ref="D9:D10"/>
    <mergeCell ref="F9:F13"/>
  </mergeCells>
  <dataValidations xWindow="307" yWindow="500" count="6">
    <dataValidation allowBlank="1" showInputMessage="1" showErrorMessage="1" promptTitle="Installation Costs" prompt="Obtained from Rural Alaska Water Fluoridation Cost.  One-time cost for establishing a piped water system within a village." sqref="F9"/>
    <dataValidation allowBlank="1" showInputMessage="1" showErrorMessage="1" promptTitle="Travel Costs" prompt="Estimated costs for a water specialist to travel to a village to establish the piper water system. This was obtained from Jennifer Dobson's Typical Annual Cost for Water Flouridation in Villages." sqref="G9"/>
    <dataValidation allowBlank="1" showInputMessage="1" showErrorMessage="1" promptTitle="Number of Villages" prompt="How many villages were flouridated given the population coverage percentages?" sqref="E9"/>
    <dataValidation allowBlank="1" showInputMessage="1" showErrorMessage="1" promptTitle="Ideal Population Coverage" prompt="Number of villages that can possibly be fluordinated according to Jennifer Dobson.  Exact Villages and their child population are found in the Village TAB." sqref="E12"/>
    <dataValidation allowBlank="1" showInputMessage="1" showErrorMessage="1" promptTitle="Operator Salary" prompt="Costs associated with the operator's salary.  This costs is in addition to their regular salary." sqref="I9"/>
    <dataValidation allowBlank="1" showInputMessage="1" showErrorMessage="1" promptTitle="Annual Renewal Cost" prompt="Annual cost associated with renewing the water fluoridation license for each village." sqref="J9"/>
  </dataValidation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1:O22"/>
  <sheetViews>
    <sheetView workbookViewId="0">
      <selection activeCell="F14" sqref="F14"/>
    </sheetView>
  </sheetViews>
  <sheetFormatPr defaultColWidth="9.140625" defaultRowHeight="15" x14ac:dyDescent="0.25"/>
  <cols>
    <col min="1" max="1" width="3.28515625" style="2" customWidth="1"/>
    <col min="2" max="2" width="4.140625" style="2" customWidth="1"/>
    <col min="3" max="3" width="17.5703125" style="2" customWidth="1"/>
    <col min="4" max="4" width="26" style="2" customWidth="1"/>
    <col min="5" max="5" width="18.85546875" style="2" bestFit="1" customWidth="1"/>
    <col min="6" max="6" width="23.42578125" style="2" customWidth="1"/>
    <col min="7" max="7" width="19" style="2" customWidth="1"/>
    <col min="8" max="8" width="15.42578125" style="2" customWidth="1"/>
    <col min="9" max="9" width="16.7109375" style="2" customWidth="1"/>
    <col min="10" max="10" width="0.42578125" style="2" customWidth="1"/>
    <col min="11" max="11" width="16.42578125" style="2" customWidth="1"/>
    <col min="12" max="12" width="0.42578125" style="2" customWidth="1"/>
    <col min="13" max="13" width="19.7109375" style="2" customWidth="1"/>
    <col min="14" max="14" width="19" style="2" customWidth="1"/>
    <col min="15" max="16384" width="9.140625" style="2"/>
  </cols>
  <sheetData>
    <row r="1" spans="2:15" s="1" customFormat="1" ht="25.5" customHeight="1" x14ac:dyDescent="0.25"/>
    <row r="2" spans="2:15" s="3" customFormat="1" ht="46.5" customHeight="1" x14ac:dyDescent="0.25">
      <c r="C2" s="701" t="s">
        <v>3</v>
      </c>
      <c r="D2" s="701"/>
      <c r="E2" s="701"/>
      <c r="F2" s="701"/>
      <c r="G2" s="701"/>
      <c r="H2" s="701"/>
      <c r="I2" s="701"/>
      <c r="J2" s="701"/>
      <c r="K2" s="701"/>
      <c r="L2" s="701"/>
      <c r="M2" s="701"/>
      <c r="N2" s="701"/>
      <c r="O2" s="701"/>
    </row>
    <row r="3" spans="2:15" ht="16.5" customHeight="1" x14ac:dyDescent="0.25">
      <c r="C3" s="851" t="s">
        <v>281</v>
      </c>
      <c r="D3" s="851"/>
      <c r="E3" s="851"/>
      <c r="F3" s="851"/>
      <c r="G3" s="851"/>
      <c r="H3" s="851"/>
      <c r="I3" s="851"/>
      <c r="J3" s="851"/>
      <c r="K3" s="851"/>
      <c r="L3" s="851"/>
      <c r="M3" s="851"/>
      <c r="N3" s="851"/>
    </row>
    <row r="4" spans="2:15" x14ac:dyDescent="0.25">
      <c r="C4" s="851"/>
      <c r="D4" s="851"/>
      <c r="E4" s="851"/>
      <c r="F4" s="851"/>
      <c r="G4" s="851"/>
      <c r="H4" s="851"/>
      <c r="I4" s="851"/>
      <c r="J4" s="851"/>
      <c r="K4" s="851"/>
      <c r="L4" s="851"/>
      <c r="M4" s="851"/>
      <c r="N4" s="851"/>
    </row>
    <row r="5" spans="2:15" ht="23.25" customHeight="1" x14ac:dyDescent="0.25">
      <c r="C5" s="17"/>
      <c r="D5" s="17"/>
      <c r="E5" s="101"/>
      <c r="F5" s="17"/>
      <c r="G5" s="17"/>
      <c r="K5" s="17"/>
      <c r="L5" s="17"/>
      <c r="M5" s="101"/>
      <c r="N5" s="17"/>
    </row>
    <row r="6" spans="2:15" ht="3.75" customHeight="1" x14ac:dyDescent="0.3">
      <c r="H6" s="37"/>
      <c r="I6" s="37"/>
      <c r="J6" s="37"/>
      <c r="K6" s="36"/>
      <c r="L6" s="36"/>
    </row>
    <row r="7" spans="2:15" ht="18.75" customHeight="1" thickBot="1" x14ac:dyDescent="0.35">
      <c r="B7" s="24"/>
      <c r="C7" s="846" t="s">
        <v>83</v>
      </c>
      <c r="D7" s="158"/>
      <c r="E7" s="852" t="s">
        <v>266</v>
      </c>
      <c r="F7" s="852" t="s">
        <v>274</v>
      </c>
      <c r="G7" s="852" t="s">
        <v>271</v>
      </c>
      <c r="H7" s="96"/>
      <c r="I7" s="103"/>
      <c r="J7" s="105"/>
      <c r="K7" s="109"/>
      <c r="L7" s="112"/>
      <c r="M7" s="854" t="s">
        <v>44</v>
      </c>
      <c r="N7" s="855"/>
      <c r="O7" s="7"/>
    </row>
    <row r="8" spans="2:15" ht="73.5" customHeight="1" thickTop="1" thickBot="1" x14ac:dyDescent="0.3">
      <c r="B8" s="24"/>
      <c r="C8" s="847"/>
      <c r="D8" s="13" t="s">
        <v>94</v>
      </c>
      <c r="E8" s="853"/>
      <c r="F8" s="852"/>
      <c r="G8" s="853"/>
      <c r="H8" s="11" t="s">
        <v>10</v>
      </c>
      <c r="I8" s="104" t="s">
        <v>11</v>
      </c>
      <c r="J8" s="106"/>
      <c r="K8" s="110" t="s">
        <v>146</v>
      </c>
      <c r="L8" s="108"/>
      <c r="M8" s="58" t="s">
        <v>38</v>
      </c>
      <c r="N8" s="55" t="s">
        <v>37</v>
      </c>
    </row>
    <row r="9" spans="2:15" ht="15" customHeight="1" thickBot="1" x14ac:dyDescent="0.3">
      <c r="B9" s="24"/>
      <c r="C9" s="165" t="str">
        <f>Population!H6</f>
        <v>6 -12 months</v>
      </c>
      <c r="D9" s="166">
        <f>Population!I6</f>
        <v>290</v>
      </c>
      <c r="E9" s="159">
        <v>0</v>
      </c>
      <c r="F9" s="482">
        <v>0</v>
      </c>
      <c r="G9" s="203">
        <v>0</v>
      </c>
      <c r="H9" s="171">
        <f t="shared" ref="H9:H14" si="0">E9/D9</f>
        <v>0</v>
      </c>
      <c r="I9" s="193">
        <v>1</v>
      </c>
      <c r="J9" s="106"/>
      <c r="K9" s="848">
        <v>49.68</v>
      </c>
      <c r="L9" s="111"/>
      <c r="M9" s="172">
        <f>$K$9*E9*F9</f>
        <v>0</v>
      </c>
      <c r="N9" s="174">
        <f>$K$9*(I9*D9*Sealants!G9)</f>
        <v>0</v>
      </c>
    </row>
    <row r="10" spans="2:15" ht="19.5" customHeight="1" thickBot="1" x14ac:dyDescent="0.3">
      <c r="C10" s="163" t="str">
        <f>Population!H7</f>
        <v>12-24 months</v>
      </c>
      <c r="D10" s="164">
        <f>Population!I7</f>
        <v>560</v>
      </c>
      <c r="E10" s="160">
        <v>13</v>
      </c>
      <c r="F10" s="483">
        <v>4.08</v>
      </c>
      <c r="G10" s="204">
        <v>4</v>
      </c>
      <c r="H10" s="171">
        <f t="shared" si="0"/>
        <v>2.3214285714285715E-2</v>
      </c>
      <c r="I10" s="193">
        <v>1</v>
      </c>
      <c r="J10" s="106"/>
      <c r="K10" s="849"/>
      <c r="L10" s="111"/>
      <c r="M10" s="172">
        <f>$K$9*(E10*F10)</f>
        <v>2635.0272</v>
      </c>
      <c r="N10" s="174">
        <f>$K$9*(I10*D10*Sealants!G10)</f>
        <v>111283.2</v>
      </c>
    </row>
    <row r="11" spans="2:15" ht="15.75" customHeight="1" thickBot="1" x14ac:dyDescent="0.3">
      <c r="B11" s="235"/>
      <c r="C11" s="192" t="str">
        <f>Population!H8</f>
        <v>24-36 months</v>
      </c>
      <c r="D11" s="170">
        <f>Population!I8</f>
        <v>582</v>
      </c>
      <c r="E11" s="167">
        <v>64</v>
      </c>
      <c r="F11" s="483">
        <v>5.0599999999999996</v>
      </c>
      <c r="G11" s="204">
        <v>4</v>
      </c>
      <c r="H11" s="171">
        <f t="shared" si="0"/>
        <v>0.10996563573883161</v>
      </c>
      <c r="I11" s="193">
        <v>1</v>
      </c>
      <c r="J11" s="106"/>
      <c r="K11" s="849"/>
      <c r="L11" s="111"/>
      <c r="M11" s="172">
        <f>$K$9*(E11*F11)</f>
        <v>16088.371199999998</v>
      </c>
      <c r="N11" s="174">
        <f>$K$9*(I11*D11*Sealants!G11)</f>
        <v>115655.03999999999</v>
      </c>
    </row>
    <row r="12" spans="2:15" ht="15.75" customHeight="1" thickBot="1" x14ac:dyDescent="0.3">
      <c r="B12" s="235"/>
      <c r="C12" s="192" t="str">
        <f>Population!H9</f>
        <v>36-48 months</v>
      </c>
      <c r="D12" s="170">
        <f>Population!I9</f>
        <v>570</v>
      </c>
      <c r="E12" s="167">
        <v>86</v>
      </c>
      <c r="F12" s="483">
        <v>4.92</v>
      </c>
      <c r="G12" s="204">
        <v>0</v>
      </c>
      <c r="H12" s="171">
        <f t="shared" si="0"/>
        <v>0.15087719298245614</v>
      </c>
      <c r="I12" s="193">
        <v>1</v>
      </c>
      <c r="J12" s="106"/>
      <c r="K12" s="849"/>
      <c r="L12" s="111"/>
      <c r="M12" s="172">
        <f>$K$9*(E12*F12)</f>
        <v>21020.601600000002</v>
      </c>
      <c r="N12" s="174">
        <f>$K$9*(I12*D12*Sealants!G12)</f>
        <v>0</v>
      </c>
    </row>
    <row r="13" spans="2:15" ht="15.75" customHeight="1" thickBot="1" x14ac:dyDescent="0.3">
      <c r="C13" s="168" t="str">
        <f>Population!H10</f>
        <v>48-60 months</v>
      </c>
      <c r="D13" s="169">
        <f>Population!I10</f>
        <v>573</v>
      </c>
      <c r="E13" s="161">
        <v>87</v>
      </c>
      <c r="F13" s="484">
        <v>4.0599999999999996</v>
      </c>
      <c r="G13" s="191">
        <v>0</v>
      </c>
      <c r="H13" s="171">
        <f t="shared" si="0"/>
        <v>0.15183246073298429</v>
      </c>
      <c r="I13" s="193">
        <v>1</v>
      </c>
      <c r="J13" s="107"/>
      <c r="K13" s="850"/>
      <c r="L13" s="113"/>
      <c r="M13" s="175">
        <f>$K$9*(E13*F13)</f>
        <v>17547.969599999997</v>
      </c>
      <c r="N13" s="174">
        <f>$K$9*(I13*D13*Sealants!G13)</f>
        <v>0</v>
      </c>
    </row>
    <row r="14" spans="2:15" ht="15.75" customHeight="1" thickTop="1" x14ac:dyDescent="0.3">
      <c r="C14" s="9" t="s">
        <v>282</v>
      </c>
      <c r="D14" s="20">
        <f>SUM(D9:D13)</f>
        <v>2575</v>
      </c>
      <c r="E14" s="162">
        <f>SUM(E9:E13)</f>
        <v>250</v>
      </c>
      <c r="F14" s="499">
        <v>4.6100000000000003</v>
      </c>
      <c r="G14" s="162">
        <f>SUM(G9:G13)</f>
        <v>8</v>
      </c>
      <c r="H14" s="216">
        <f t="shared" si="0"/>
        <v>9.7087378640776698E-2</v>
      </c>
      <c r="I14" s="194">
        <f>AVERAGE(I9:I13)</f>
        <v>1</v>
      </c>
      <c r="J14" s="19"/>
      <c r="M14" s="173">
        <f>E14*K9</f>
        <v>12420</v>
      </c>
      <c r="N14" s="176">
        <f>SUM(N9:N13)</f>
        <v>226938.23999999999</v>
      </c>
    </row>
    <row r="15" spans="2:15" ht="15.75" customHeight="1" x14ac:dyDescent="0.3">
      <c r="C15" s="9"/>
      <c r="E15" s="101"/>
      <c r="F15" s="17"/>
      <c r="G15" s="17"/>
      <c r="I15" s="7"/>
      <c r="J15" s="19"/>
    </row>
    <row r="16" spans="2:15" ht="15.75" customHeight="1" x14ac:dyDescent="0.3">
      <c r="C16" s="9"/>
      <c r="E16" s="76"/>
      <c r="F16" s="76"/>
      <c r="G16" s="17"/>
      <c r="I16" s="7"/>
      <c r="J16" s="19"/>
    </row>
    <row r="17" spans="3:14" ht="15.75" customHeight="1" x14ac:dyDescent="0.25">
      <c r="C17" s="2" t="s">
        <v>293</v>
      </c>
      <c r="G17" s="17"/>
      <c r="N17" s="91"/>
    </row>
    <row r="18" spans="3:14" x14ac:dyDescent="0.25">
      <c r="C18" s="2" t="s">
        <v>294</v>
      </c>
      <c r="G18" s="17"/>
      <c r="M18" s="7"/>
      <c r="N18" s="7"/>
    </row>
    <row r="19" spans="3:14" x14ac:dyDescent="0.25">
      <c r="C19" s="16" t="s">
        <v>376</v>
      </c>
      <c r="D19" s="16"/>
      <c r="G19" s="19"/>
      <c r="L19" s="7"/>
    </row>
    <row r="20" spans="3:14" x14ac:dyDescent="0.25">
      <c r="C20" s="16" t="s">
        <v>377</v>
      </c>
      <c r="D20" s="16"/>
      <c r="G20" s="19"/>
      <c r="L20" s="7"/>
    </row>
    <row r="21" spans="3:14" x14ac:dyDescent="0.25">
      <c r="C21" s="2" t="s">
        <v>295</v>
      </c>
      <c r="E21" s="17"/>
      <c r="F21" s="17"/>
      <c r="G21" s="7"/>
      <c r="H21" s="7"/>
      <c r="I21" s="2" t="s">
        <v>23</v>
      </c>
    </row>
    <row r="22" spans="3:14" x14ac:dyDescent="0.25">
      <c r="E22" s="7"/>
    </row>
  </sheetData>
  <mergeCells count="8">
    <mergeCell ref="C2:O2"/>
    <mergeCell ref="C7:C8"/>
    <mergeCell ref="K9:K13"/>
    <mergeCell ref="C3:N4"/>
    <mergeCell ref="E7:E8"/>
    <mergeCell ref="G7:G8"/>
    <mergeCell ref="M7:N7"/>
    <mergeCell ref="F7:F8"/>
  </mergeCells>
  <dataValidations xWindow="383" yWindow="514" count="10">
    <dataValidation allowBlank="1" showInputMessage="1" showErrorMessage="1" promptTitle="Population Coverage" prompt="Percentage of population that is affected/participates in the intervention." sqref="H10:H13"/>
    <dataValidation allowBlank="1" showInputMessage="1" showErrorMessage="1" promptTitle="Ideal Population Coverage" prompt="How much coverage should be done within the villages" sqref="I10:I13"/>
    <dataValidation allowBlank="1" showInputMessage="1" showErrorMessage="1" promptTitle="Sealant Completed" prompt="Running Tally of Number of Sealants performed by varying providers in YK Region during 2011" sqref="E10:E13"/>
    <dataValidation allowBlank="1" showInputMessage="1" showErrorMessage="1" promptTitle="Coverage" prompt="Population Coverage is the percentage of population participating in intervention." sqref="H8"/>
    <dataValidation allowBlank="1" showInputMessage="1" showErrorMessage="1" promptTitle="Medicaid Reimbursement per tooth" prompt="Derived from AK Medicaid for ADA CDT codes SFY 2013." sqref="K9:K13"/>
    <dataValidation allowBlank="1" showInputMessage="1" showErrorMessage="1" promptTitle="Children Receiving Sealants" prompt="Enter the annual number of children that received at least one sealant during a dental visit in which selants were placed on teeth within a given year." sqref="E9"/>
    <dataValidation allowBlank="1" showInputMessage="1" showErrorMessage="1" promptTitle="Average Number of Sealants" prompt="Enter the average number of sealants applied to a child during one dental visit, in which sealants were applied, within a given year." sqref="F9"/>
    <dataValidation allowBlank="1" showInputMessage="1" showErrorMessage="1" promptTitle="Recommended Number of Sealants" prompt="Dentist suggest that for best efficacy that children receive 8 sealants prior to their third birthday." sqref="G9"/>
    <dataValidation allowBlank="1" showInputMessage="1" showErrorMessage="1" promptTitle="Ideal Population Coverage" prompt="We assumed that ideal population coverage for most interventions will be 100%." sqref="I9"/>
    <dataValidation allowBlank="1" showInputMessage="1" showErrorMessage="1" promptTitle="Current Population Coverage" prompt="Percentage of population that is currently affected/participates in the intervention." sqref="H9"/>
  </dataValidation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N26"/>
  <sheetViews>
    <sheetView workbookViewId="0">
      <selection activeCell="E15" sqref="E15"/>
    </sheetView>
  </sheetViews>
  <sheetFormatPr defaultColWidth="9.140625" defaultRowHeight="15" x14ac:dyDescent="0.25"/>
  <cols>
    <col min="1" max="1" width="18" style="2" customWidth="1"/>
    <col min="2" max="2" width="25.7109375" style="2" customWidth="1"/>
    <col min="3" max="3" width="18.5703125" style="2" customWidth="1"/>
    <col min="4" max="4" width="22.5703125" style="2" customWidth="1"/>
    <col min="5" max="5" width="19.7109375" style="2" customWidth="1"/>
    <col min="6" max="6" width="13.28515625" style="2" customWidth="1"/>
    <col min="7" max="7" width="15.42578125" style="2" customWidth="1"/>
    <col min="8" max="8" width="0.28515625" style="2" customWidth="1"/>
    <col min="9" max="9" width="17.140625" style="2" customWidth="1"/>
    <col min="10" max="10" width="0.28515625" style="2" customWidth="1"/>
    <col min="11" max="11" width="15.7109375" style="2" customWidth="1"/>
    <col min="12" max="12" width="16.42578125" style="2" customWidth="1"/>
    <col min="13" max="16384" width="9.140625" style="2"/>
  </cols>
  <sheetData>
    <row r="1" spans="1:14" s="1" customFormat="1" ht="25.5" customHeight="1" x14ac:dyDescent="0.25"/>
    <row r="2" spans="1:14" s="3" customFormat="1" ht="46.5" customHeight="1" x14ac:dyDescent="0.25">
      <c r="B2" s="8"/>
      <c r="C2" s="701" t="s">
        <v>279</v>
      </c>
      <c r="D2" s="701"/>
      <c r="E2" s="701"/>
      <c r="F2" s="701"/>
      <c r="G2" s="701"/>
      <c r="H2" s="701"/>
      <c r="I2" s="701"/>
      <c r="J2" s="701"/>
      <c r="K2" s="701"/>
      <c r="L2" s="701"/>
      <c r="M2" s="8"/>
    </row>
    <row r="3" spans="1:14" ht="6.75" customHeight="1" x14ac:dyDescent="0.25">
      <c r="B3" s="851" t="s">
        <v>283</v>
      </c>
      <c r="C3" s="851"/>
      <c r="D3" s="851"/>
      <c r="E3" s="851"/>
      <c r="F3" s="851"/>
      <c r="G3" s="851"/>
      <c r="H3" s="851"/>
      <c r="I3" s="851"/>
      <c r="J3" s="851"/>
      <c r="K3" s="851"/>
      <c r="L3" s="851"/>
      <c r="M3" s="851"/>
      <c r="N3" s="851"/>
    </row>
    <row r="4" spans="1:14" ht="11.25" customHeight="1" x14ac:dyDescent="0.25">
      <c r="B4" s="851"/>
      <c r="C4" s="851"/>
      <c r="D4" s="851"/>
      <c r="E4" s="851"/>
      <c r="F4" s="851"/>
      <c r="G4" s="851"/>
      <c r="H4" s="851"/>
      <c r="I4" s="851"/>
      <c r="J4" s="851"/>
      <c r="K4" s="851"/>
      <c r="L4" s="851"/>
      <c r="M4" s="851"/>
      <c r="N4" s="851"/>
    </row>
    <row r="5" spans="1:14" x14ac:dyDescent="0.25">
      <c r="B5" s="17"/>
      <c r="C5" s="17"/>
      <c r="F5" s="17"/>
      <c r="I5" s="19"/>
      <c r="J5" s="17"/>
      <c r="K5" s="17"/>
      <c r="L5" s="17"/>
    </row>
    <row r="6" spans="1:14" ht="3.75" customHeight="1" x14ac:dyDescent="0.3">
      <c r="G6" s="37"/>
      <c r="H6" s="37"/>
      <c r="I6" s="36"/>
      <c r="J6" s="36"/>
    </row>
    <row r="7" spans="1:14" ht="19.5" thickBot="1" x14ac:dyDescent="0.3">
      <c r="A7" s="7"/>
      <c r="B7" s="846" t="s">
        <v>5</v>
      </c>
      <c r="C7" s="158"/>
      <c r="D7" s="852" t="s">
        <v>145</v>
      </c>
      <c r="E7" s="852" t="s">
        <v>443</v>
      </c>
      <c r="F7" s="14"/>
      <c r="G7" s="114"/>
      <c r="H7" s="116"/>
      <c r="I7" s="121"/>
      <c r="J7" s="122"/>
      <c r="K7" s="119" t="s">
        <v>43</v>
      </c>
      <c r="L7" s="120"/>
    </row>
    <row r="8" spans="1:14" ht="71.25" customHeight="1" thickTop="1" thickBot="1" x14ac:dyDescent="0.3">
      <c r="A8" s="7"/>
      <c r="B8" s="847"/>
      <c r="C8" s="13" t="s">
        <v>94</v>
      </c>
      <c r="D8" s="853"/>
      <c r="E8" s="853"/>
      <c r="F8" s="11" t="s">
        <v>10</v>
      </c>
      <c r="G8" s="115" t="s">
        <v>11</v>
      </c>
      <c r="H8" s="117"/>
      <c r="I8" s="58" t="s">
        <v>198</v>
      </c>
      <c r="J8" s="123"/>
      <c r="K8" s="56" t="s">
        <v>38</v>
      </c>
      <c r="L8" s="57" t="s">
        <v>68</v>
      </c>
      <c r="M8" s="17"/>
    </row>
    <row r="9" spans="1:14" ht="15" customHeight="1" x14ac:dyDescent="0.25">
      <c r="A9" s="7"/>
      <c r="B9" s="387" t="str">
        <f>Population!H6</f>
        <v>6 -12 months</v>
      </c>
      <c r="C9" s="339">
        <f>Population!I6</f>
        <v>290</v>
      </c>
      <c r="D9" s="340">
        <v>32</v>
      </c>
      <c r="E9" s="477">
        <v>1.25</v>
      </c>
      <c r="F9" s="341">
        <f t="shared" ref="F9:F14" si="0">D9/C9</f>
        <v>0.1103448275862069</v>
      </c>
      <c r="G9" s="502">
        <v>1</v>
      </c>
      <c r="H9" s="118"/>
      <c r="I9" s="848">
        <v>28.5</v>
      </c>
      <c r="J9" s="111"/>
      <c r="K9" s="352">
        <f>$I$9*(D9*E9)</f>
        <v>1140</v>
      </c>
      <c r="L9" s="353">
        <f>$I$9*(G9*C9*2)</f>
        <v>16530</v>
      </c>
    </row>
    <row r="10" spans="1:14" ht="15.75" customHeight="1" x14ac:dyDescent="0.25">
      <c r="A10" s="7"/>
      <c r="B10" s="388" t="str">
        <f>Population!H7</f>
        <v>12-24 months</v>
      </c>
      <c r="C10" s="337">
        <f>Population!I7</f>
        <v>560</v>
      </c>
      <c r="D10" s="188">
        <v>211</v>
      </c>
      <c r="E10" s="478">
        <v>1.43</v>
      </c>
      <c r="F10" s="338">
        <f t="shared" si="0"/>
        <v>0.37678571428571428</v>
      </c>
      <c r="G10" s="501">
        <v>1</v>
      </c>
      <c r="H10" s="118"/>
      <c r="I10" s="849"/>
      <c r="J10" s="111"/>
      <c r="K10" s="335">
        <f>$I$9*(D10*E10)</f>
        <v>8599.3049999999985</v>
      </c>
      <c r="L10" s="355">
        <f>$I$9*(G10*C10*2)</f>
        <v>31920</v>
      </c>
    </row>
    <row r="11" spans="1:14" ht="15" customHeight="1" thickBot="1" x14ac:dyDescent="0.3">
      <c r="B11" s="389" t="str">
        <f>Population!H8</f>
        <v>24-36 months</v>
      </c>
      <c r="C11" s="349">
        <f>Population!I8</f>
        <v>582</v>
      </c>
      <c r="D11" s="345">
        <v>326</v>
      </c>
      <c r="E11" s="479">
        <v>1.58</v>
      </c>
      <c r="F11" s="346">
        <f t="shared" si="0"/>
        <v>0.56013745704467355</v>
      </c>
      <c r="G11" s="342">
        <v>1</v>
      </c>
      <c r="H11" s="118"/>
      <c r="I11" s="849"/>
      <c r="J11" s="111"/>
      <c r="K11" s="354">
        <f>$I$9*(D11*E11)</f>
        <v>14679.78</v>
      </c>
      <c r="L11" s="351">
        <f>$I$9*(G11*C11*2)</f>
        <v>33174</v>
      </c>
    </row>
    <row r="12" spans="1:14" ht="15" customHeight="1" x14ac:dyDescent="0.25">
      <c r="B12" s="390" t="str">
        <f>Population!H9</f>
        <v>36-48 months</v>
      </c>
      <c r="C12" s="348">
        <f>Population!I9</f>
        <v>570</v>
      </c>
      <c r="D12" s="347">
        <v>338</v>
      </c>
      <c r="E12" s="480">
        <v>1.75</v>
      </c>
      <c r="F12" s="350">
        <f t="shared" si="0"/>
        <v>0.59298245614035083</v>
      </c>
      <c r="G12" s="343">
        <v>1</v>
      </c>
      <c r="H12" s="118"/>
      <c r="I12" s="849"/>
      <c r="J12" s="111"/>
      <c r="K12" s="334">
        <f>$I$9*(D12*E12)</f>
        <v>16857.75</v>
      </c>
      <c r="L12" s="355">
        <f>$I$9*(G12*C12*2)</f>
        <v>32490</v>
      </c>
    </row>
    <row r="13" spans="1:14" ht="15.75" customHeight="1" thickBot="1" x14ac:dyDescent="0.3">
      <c r="B13" s="168" t="str">
        <f>Population!H10</f>
        <v>48-60 months</v>
      </c>
      <c r="C13" s="344">
        <f>Population!I10</f>
        <v>573</v>
      </c>
      <c r="D13" s="188">
        <v>404</v>
      </c>
      <c r="E13" s="481">
        <v>1.88</v>
      </c>
      <c r="F13" s="338">
        <f t="shared" si="0"/>
        <v>0.70506108202443285</v>
      </c>
      <c r="G13" s="190">
        <v>1</v>
      </c>
      <c r="H13" s="118"/>
      <c r="I13" s="850"/>
      <c r="J13" s="111"/>
      <c r="K13" s="356">
        <f>$I$9*(D13*E13)</f>
        <v>21646.32</v>
      </c>
      <c r="L13" s="351">
        <f>$I$9*(G13*C13*2)</f>
        <v>32661</v>
      </c>
    </row>
    <row r="14" spans="1:14" s="9" customFormat="1" ht="15.75" customHeight="1" thickTop="1" x14ac:dyDescent="0.3">
      <c r="B14" s="184" t="s">
        <v>286</v>
      </c>
      <c r="C14" s="187">
        <f>SUM(C9:C13)</f>
        <v>2575</v>
      </c>
      <c r="D14" s="336">
        <f>SUM(D9:D13)</f>
        <v>1311</v>
      </c>
      <c r="E14" s="500">
        <v>1.68</v>
      </c>
      <c r="F14" s="234">
        <f t="shared" si="0"/>
        <v>0.50912621359223298</v>
      </c>
      <c r="G14" s="185">
        <f>AVERAGE(G9:G13)</f>
        <v>1</v>
      </c>
      <c r="H14" s="185"/>
      <c r="I14" s="186"/>
      <c r="J14" s="186"/>
      <c r="K14" s="236">
        <f>SUM(K9:K13)</f>
        <v>62923.154999999999</v>
      </c>
      <c r="L14" s="189">
        <f>SUM(L9:L13)</f>
        <v>146775</v>
      </c>
    </row>
    <row r="15" spans="1:14" ht="15.75" customHeight="1" x14ac:dyDescent="0.25">
      <c r="B15" s="180"/>
      <c r="C15" s="181"/>
      <c r="D15" s="656"/>
      <c r="E15" s="657"/>
      <c r="F15" s="656"/>
      <c r="G15" s="178"/>
      <c r="H15" s="178"/>
      <c r="I15" s="179"/>
      <c r="J15" s="179"/>
      <c r="K15" s="102"/>
      <c r="L15" s="102"/>
    </row>
    <row r="16" spans="1:14" ht="15.75" customHeight="1" x14ac:dyDescent="0.25">
      <c r="B16" s="180"/>
      <c r="C16" s="181"/>
      <c r="D16" s="182"/>
      <c r="E16" s="183"/>
      <c r="F16" s="178"/>
      <c r="G16" s="178"/>
      <c r="H16" s="178"/>
      <c r="I16" s="179"/>
      <c r="J16" s="179"/>
      <c r="K16" s="102"/>
      <c r="L16" s="102"/>
    </row>
    <row r="17" spans="2:9" x14ac:dyDescent="0.25">
      <c r="B17" s="17"/>
      <c r="C17" s="17"/>
      <c r="D17" s="17"/>
      <c r="E17" s="17"/>
      <c r="H17" s="7"/>
      <c r="I17" s="7"/>
    </row>
    <row r="18" spans="2:9" x14ac:dyDescent="0.25">
      <c r="B18" s="2" t="s">
        <v>296</v>
      </c>
      <c r="E18" s="7"/>
    </row>
    <row r="19" spans="2:9" x14ac:dyDescent="0.25">
      <c r="B19" s="16" t="s">
        <v>297</v>
      </c>
      <c r="C19" s="16"/>
    </row>
    <row r="20" spans="2:9" x14ac:dyDescent="0.25">
      <c r="B20" s="2" t="s">
        <v>322</v>
      </c>
    </row>
    <row r="26" spans="2:9" x14ac:dyDescent="0.25">
      <c r="B26" s="7"/>
    </row>
  </sheetData>
  <mergeCells count="6">
    <mergeCell ref="C2:L2"/>
    <mergeCell ref="B3:N4"/>
    <mergeCell ref="B7:B8"/>
    <mergeCell ref="I9:I13"/>
    <mergeCell ref="D7:D8"/>
    <mergeCell ref="E7:E8"/>
  </mergeCells>
  <dataValidations xWindow="654" yWindow="573" count="10">
    <dataValidation allowBlank="1" showInputMessage="1" showErrorMessage="1" promptTitle="Population Coverage" prompt="Percentage of population that is affected/participates in the intervention." sqref="F10:F13"/>
    <dataValidation allowBlank="1" showInputMessage="1" showErrorMessage="1" promptTitle="Varnish Applications per year" prompt="Total number of varnish applications done in Year 2011 in the YK Region" sqref="D16"/>
    <dataValidation allowBlank="1" showInputMessage="1" showErrorMessage="1" promptTitle="Reimubrsement" prompt="Derived from Hospital Cost Data in YK Region" sqref="I15:I16"/>
    <dataValidation allowBlank="1" showInputMessage="1" showErrorMessage="1" promptTitle="Medicaid Reimubrsement" prompt="Received from AK Medicaid for ADA derived CDT codes SFY 2013.  Need to clarify if varnish is per child or per tooth.  If per tooth, what is the average number of varnishes per child per visit?" sqref="I14"/>
    <dataValidation allowBlank="1" showInputMessage="1" showErrorMessage="1" promptTitle="Medicaid Reimbursement" prompt="Obtained from AK Medicaid for ADA derived CDT codes. Varnish cost is charged per application.  Therefore we calculated varnish application to be a product between the # of children, recommended # of applications, and cost per application." sqref="I9:I13"/>
    <dataValidation allowBlank="1" showInputMessage="1" showErrorMessage="1" promptTitle="Varnish Applications per year" prompt="Enter the total number of varnish applications done in one year in the YK Region.  We chose to use Year 2011." sqref="D10:D13"/>
    <dataValidation allowBlank="1" showInputMessage="1" showErrorMessage="1" promptTitle="Ideal Population Coverage" prompt="We assumed that ideal population coverage for most interventions will be 100%." sqref="G9"/>
    <dataValidation allowBlank="1" showInputMessage="1" showErrorMessage="1" promptTitle="Varnish Applications per year" prompt="Enter the total number of varnish applications done in one year in the YK Region within a given year.  Varnish applications are usually completed per quadrant, thus cost is per application not per tooth." sqref="D9"/>
    <dataValidation allowBlank="1" showInputMessage="1" showErrorMessage="1" promptTitle="Recommended Varnish Applications" prompt="Recommnded number of varnish applications is at least 2x, but upto 4X per year for children with endangered teeth." sqref="E9"/>
    <dataValidation allowBlank="1" showInputMessage="1" showErrorMessage="1" promptTitle="Current Population Coverage" prompt="Percentage of population that is currently affected/participates in the intervention." sqref="F9"/>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34</vt:i4>
      </vt:variant>
      <vt:variant>
        <vt:lpstr>Named Ranges</vt:lpstr>
      </vt:variant>
      <vt:variant>
        <vt:i4>1</vt:i4>
      </vt:variant>
    </vt:vector>
  </HeadingPairs>
  <TitlesOfParts>
    <vt:vector size="35" baseType="lpstr">
      <vt:lpstr>Main</vt:lpstr>
      <vt:lpstr>Instruction</vt:lpstr>
      <vt:lpstr>Population</vt:lpstr>
      <vt:lpstr>Caries</vt:lpstr>
      <vt:lpstr>FMDR</vt:lpstr>
      <vt:lpstr>Weighted</vt:lpstr>
      <vt:lpstr>Fluoridation</vt:lpstr>
      <vt:lpstr>Sealants</vt:lpstr>
      <vt:lpstr>Varnish</vt:lpstr>
      <vt:lpstr>Toothbrushes</vt:lpstr>
      <vt:lpstr>Initial_exam</vt:lpstr>
      <vt:lpstr>Effectiveness</vt:lpstr>
      <vt:lpstr>Summary</vt:lpstr>
      <vt:lpstr>Prevention</vt:lpstr>
      <vt:lpstr>Outcomes</vt:lpstr>
      <vt:lpstr>Health Outcomes</vt:lpstr>
      <vt:lpstr>Final Health Outcomes</vt:lpstr>
      <vt:lpstr>Prevention_Cost</vt:lpstr>
      <vt:lpstr>Actual_Prevention $</vt:lpstr>
      <vt:lpstr>CEA</vt:lpstr>
      <vt:lpstr>CEA_Actual</vt:lpstr>
      <vt:lpstr>Villages</vt:lpstr>
      <vt:lpstr>Treatment_Cost</vt:lpstr>
      <vt:lpstr>Discounting</vt:lpstr>
      <vt:lpstr>Discounting_Ideal</vt:lpstr>
      <vt:lpstr>Total Discounting</vt:lpstr>
      <vt:lpstr>Explain</vt:lpstr>
      <vt:lpstr>Supplement1</vt:lpstr>
      <vt:lpstr>Supplement2</vt:lpstr>
      <vt:lpstr>Display</vt:lpstr>
      <vt:lpstr>Encounter Rate</vt:lpstr>
      <vt:lpstr>Current_Health</vt:lpstr>
      <vt:lpstr>10yr_Health</vt:lpstr>
      <vt:lpstr>graphs</vt:lpstr>
      <vt:lpstr>For_a_full_list_of_calculations</vt:lpstr>
    </vt:vector>
  </TitlesOfParts>
  <Company>Centers for Disease Control and Prevention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hse7</dc:creator>
  <cp:lastModifiedBy>Atkins, Charisma Y. (CDC/OID/NCEZID)</cp:lastModifiedBy>
  <cp:lastPrinted>2012-10-22T19:34:31Z</cp:lastPrinted>
  <dcterms:created xsi:type="dcterms:W3CDTF">2012-03-28T15:34:57Z</dcterms:created>
  <dcterms:modified xsi:type="dcterms:W3CDTF">2016-05-31T17:43:26Z</dcterms:modified>
</cp:coreProperties>
</file>